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zuiderzeeland.sharepoint.com/sites/dms/Zaken/Voorstel/1001287/AB 10 februari 2026/AB 10 februari Achtergronddocumenten voor link/"/>
    </mc:Choice>
  </mc:AlternateContent>
  <xr:revisionPtr revIDLastSave="130" documentId="8_{4D3E7AF1-4BDD-4ED1-822F-DA574E6AFA30}" xr6:coauthVersionLast="47" xr6:coauthVersionMax="47" xr10:uidLastSave="{6D915B7D-2012-4755-AF5F-D4C4BF9C3844}"/>
  <bookViews>
    <workbookView xWindow="-108" yWindow="-108" windowWidth="23256" windowHeight="12456" firstSheet="3" activeTab="3" xr2:uid="{73C79A53-475A-4B41-B1DB-2E04AFED3075}"/>
  </bookViews>
  <sheets>
    <sheet name="zomer2017-2022" sheetId="1" r:id="rId1"/>
    <sheet name="jaar2017-2022" sheetId="2" r:id="rId2"/>
    <sheet name="zomer2010-2016" sheetId="3" r:id="rId3"/>
    <sheet name="jaar2010-2016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38" i="4" l="1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R43" i="1"/>
  <c r="R44" i="1"/>
  <c r="R45" i="1"/>
  <c r="R46" i="1"/>
  <c r="R47" i="1"/>
  <c r="R48" i="1"/>
  <c r="R49" i="1"/>
  <c r="R50" i="1"/>
  <c r="P58" i="1"/>
  <c r="Q58" i="1"/>
  <c r="R51" i="1"/>
  <c r="R52" i="1"/>
  <c r="R53" i="1"/>
  <c r="R54" i="1"/>
  <c r="S54" i="1" s="1"/>
  <c r="R55" i="1"/>
  <c r="R56" i="1"/>
  <c r="DA29" i="1"/>
  <c r="DA27" i="1"/>
  <c r="DB17" i="1"/>
  <c r="CZ17" i="1"/>
  <c r="DA15" i="1"/>
  <c r="CZ13" i="1"/>
  <c r="DA11" i="1"/>
  <c r="CZ11" i="1"/>
  <c r="DA9" i="1"/>
  <c r="CZ9" i="1"/>
  <c r="CY9" i="1"/>
  <c r="DB7" i="1"/>
  <c r="DA7" i="1"/>
  <c r="CZ7" i="1"/>
  <c r="CY5" i="1"/>
  <c r="BD70" i="4"/>
  <c r="BE69" i="4"/>
  <c r="BE68" i="4"/>
  <c r="BD62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F59" i="4"/>
  <c r="F58" i="4"/>
  <c r="BE54" i="4"/>
  <c r="BD53" i="4"/>
  <c r="Q58" i="4"/>
  <c r="P58" i="4"/>
  <c r="BE49" i="4"/>
  <c r="BE48" i="4"/>
  <c r="BD48" i="4"/>
  <c r="BE43" i="4"/>
  <c r="BE36" i="4"/>
  <c r="BE73" i="4" s="1"/>
  <c r="BD36" i="4"/>
  <c r="BD73" i="4" s="1"/>
  <c r="BE35" i="4"/>
  <c r="BE72" i="4" s="1"/>
  <c r="BD35" i="4"/>
  <c r="BD72" i="4" s="1"/>
  <c r="BE34" i="4"/>
  <c r="BE71" i="4" s="1"/>
  <c r="BD34" i="4"/>
  <c r="BD71" i="4" s="1"/>
  <c r="BE33" i="4"/>
  <c r="BE70" i="4" s="1"/>
  <c r="BD33" i="4"/>
  <c r="BE32" i="4"/>
  <c r="BD32" i="4"/>
  <c r="BE31" i="4"/>
  <c r="BD31" i="4"/>
  <c r="BD69" i="4" s="1"/>
  <c r="BE30" i="4"/>
  <c r="BD30" i="4"/>
  <c r="BD68" i="4" s="1"/>
  <c r="BE29" i="4"/>
  <c r="BE67" i="4" s="1"/>
  <c r="BD29" i="4"/>
  <c r="BD67" i="4" s="1"/>
  <c r="AB29" i="4"/>
  <c r="BE28" i="4"/>
  <c r="BE66" i="4" s="1"/>
  <c r="BD28" i="4"/>
  <c r="BD66" i="4" s="1"/>
  <c r="BE27" i="4"/>
  <c r="BE65" i="4" s="1"/>
  <c r="BD27" i="4"/>
  <c r="BD65" i="4" s="1"/>
  <c r="BE26" i="4"/>
  <c r="BE64" i="4" s="1"/>
  <c r="BD26" i="4"/>
  <c r="BD64" i="4" s="1"/>
  <c r="BE25" i="4"/>
  <c r="BE63" i="4" s="1"/>
  <c r="BD25" i="4"/>
  <c r="BD63" i="4" s="1"/>
  <c r="BE24" i="4"/>
  <c r="BE62" i="4" s="1"/>
  <c r="BD24" i="4"/>
  <c r="AB24" i="4"/>
  <c r="BE23" i="4"/>
  <c r="BE61" i="4" s="1"/>
  <c r="BD23" i="4"/>
  <c r="BD61" i="4" s="1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18" i="4"/>
  <c r="BE55" i="4" s="1"/>
  <c r="BD18" i="4"/>
  <c r="BD55" i="4" s="1"/>
  <c r="BE17" i="4"/>
  <c r="BD17" i="4"/>
  <c r="BD54" i="4" s="1"/>
  <c r="BE16" i="4"/>
  <c r="BE53" i="4" s="1"/>
  <c r="BD16" i="4"/>
  <c r="BE15" i="4"/>
  <c r="BE52" i="4" s="1"/>
  <c r="BD15" i="4"/>
  <c r="BD52" i="4" s="1"/>
  <c r="BE14" i="4"/>
  <c r="BD14" i="4"/>
  <c r="BE13" i="4"/>
  <c r="BE51" i="4" s="1"/>
  <c r="BD13" i="4"/>
  <c r="BD51" i="4" s="1"/>
  <c r="BE12" i="4"/>
  <c r="BE50" i="4" s="1"/>
  <c r="BD12" i="4"/>
  <c r="BD50" i="4" s="1"/>
  <c r="BE11" i="4"/>
  <c r="BD11" i="4"/>
  <c r="BD49" i="4" s="1"/>
  <c r="BE10" i="4"/>
  <c r="BD10" i="4"/>
  <c r="BE9" i="4"/>
  <c r="BE47" i="4" s="1"/>
  <c r="BD9" i="4"/>
  <c r="BD47" i="4" s="1"/>
  <c r="BE8" i="4"/>
  <c r="BE46" i="4" s="1"/>
  <c r="BD8" i="4"/>
  <c r="BD46" i="4" s="1"/>
  <c r="BE7" i="4"/>
  <c r="BE45" i="4" s="1"/>
  <c r="BD7" i="4"/>
  <c r="BD45" i="4" s="1"/>
  <c r="BE6" i="4"/>
  <c r="BE44" i="4" s="1"/>
  <c r="BD6" i="4"/>
  <c r="BD44" i="4" s="1"/>
  <c r="BE5" i="4"/>
  <c r="BD5" i="4"/>
  <c r="BD43" i="4" s="1"/>
  <c r="AB5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F59" i="3"/>
  <c r="F58" i="3"/>
  <c r="N59" i="3"/>
  <c r="M58" i="3"/>
  <c r="R52" i="3"/>
  <c r="P58" i="3"/>
  <c r="O58" i="3"/>
  <c r="N58" i="3"/>
  <c r="R49" i="3"/>
  <c r="R47" i="3"/>
  <c r="R43" i="3"/>
  <c r="BW38" i="3"/>
  <c r="BP38" i="3"/>
  <c r="BU38" i="3"/>
  <c r="BT38" i="3"/>
  <c r="BO38" i="3"/>
  <c r="BN38" i="3"/>
  <c r="BK37" i="3"/>
  <c r="BJ37" i="3"/>
  <c r="BI37" i="3"/>
  <c r="BH37" i="3"/>
  <c r="BF37" i="3"/>
  <c r="BW37" i="3"/>
  <c r="BS37" i="3"/>
  <c r="BR37" i="3"/>
  <c r="BP37" i="3"/>
  <c r="BG37" i="3"/>
  <c r="BE36" i="3"/>
  <c r="BE73" i="3" s="1"/>
  <c r="BD36" i="3"/>
  <c r="BD73" i="3" s="1"/>
  <c r="BE35" i="3"/>
  <c r="BE72" i="3" s="1"/>
  <c r="BD35" i="3"/>
  <c r="BD72" i="3" s="1"/>
  <c r="BE34" i="3"/>
  <c r="BE71" i="3" s="1"/>
  <c r="BD34" i="3"/>
  <c r="BD71" i="3" s="1"/>
  <c r="BE33" i="3"/>
  <c r="BE70" i="3" s="1"/>
  <c r="BD33" i="3"/>
  <c r="BD70" i="3" s="1"/>
  <c r="BE32" i="3"/>
  <c r="BD32" i="3"/>
  <c r="BB32" i="3"/>
  <c r="AB32" i="3"/>
  <c r="BE31" i="3"/>
  <c r="BE69" i="3" s="1"/>
  <c r="BD31" i="3"/>
  <c r="BD69" i="3" s="1"/>
  <c r="BB31" i="3"/>
  <c r="BE30" i="3"/>
  <c r="BE68" i="3" s="1"/>
  <c r="BD30" i="3"/>
  <c r="BD68" i="3" s="1"/>
  <c r="BB30" i="3"/>
  <c r="AB30" i="3"/>
  <c r="BE29" i="3"/>
  <c r="BE67" i="3" s="1"/>
  <c r="BD29" i="3"/>
  <c r="BD67" i="3" s="1"/>
  <c r="BE28" i="3"/>
  <c r="BE66" i="3" s="1"/>
  <c r="BD28" i="3"/>
  <c r="BD66" i="3" s="1"/>
  <c r="BE27" i="3"/>
  <c r="BE65" i="3" s="1"/>
  <c r="BD27" i="3"/>
  <c r="BD65" i="3" s="1"/>
  <c r="AB27" i="3"/>
  <c r="BE26" i="3"/>
  <c r="BE64" i="3" s="1"/>
  <c r="BD26" i="3"/>
  <c r="BD64" i="3" s="1"/>
  <c r="BB26" i="3"/>
  <c r="AB26" i="3"/>
  <c r="BE25" i="3"/>
  <c r="BE63" i="3" s="1"/>
  <c r="BD25" i="3"/>
  <c r="BD63" i="3" s="1"/>
  <c r="BB25" i="3"/>
  <c r="AB25" i="3"/>
  <c r="BE24" i="3"/>
  <c r="BE62" i="3" s="1"/>
  <c r="BD24" i="3"/>
  <c r="BD62" i="3" s="1"/>
  <c r="BE23" i="3"/>
  <c r="BE61" i="3" s="1"/>
  <c r="BD23" i="3"/>
  <c r="BD61" i="3" s="1"/>
  <c r="BB23" i="3"/>
  <c r="AB23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W20" i="3"/>
  <c r="BU20" i="3"/>
  <c r="BT20" i="3"/>
  <c r="BL20" i="3"/>
  <c r="BJ20" i="3"/>
  <c r="BH20" i="3"/>
  <c r="BF20" i="3"/>
  <c r="BY20" i="3"/>
  <c r="BV20" i="3"/>
  <c r="BR20" i="3"/>
  <c r="BO20" i="3"/>
  <c r="BN20" i="3"/>
  <c r="BK20" i="3"/>
  <c r="BI20" i="3"/>
  <c r="BW19" i="3"/>
  <c r="BR19" i="3"/>
  <c r="BN19" i="3"/>
  <c r="BM19" i="3"/>
  <c r="BX19" i="3"/>
  <c r="BV19" i="3"/>
  <c r="BU19" i="3"/>
  <c r="BT19" i="3"/>
  <c r="BP19" i="3"/>
  <c r="BL19" i="3"/>
  <c r="BK19" i="3"/>
  <c r="BH19" i="3"/>
  <c r="BE18" i="3"/>
  <c r="BE55" i="3" s="1"/>
  <c r="BD18" i="3"/>
  <c r="BD55" i="3" s="1"/>
  <c r="BE17" i="3"/>
  <c r="BE54" i="3" s="1"/>
  <c r="BD17" i="3"/>
  <c r="BD54" i="3" s="1"/>
  <c r="BE16" i="3"/>
  <c r="BE53" i="3" s="1"/>
  <c r="BD16" i="3"/>
  <c r="BD53" i="3" s="1"/>
  <c r="BE15" i="3"/>
  <c r="BE52" i="3" s="1"/>
  <c r="BD15" i="3"/>
  <c r="BD52" i="3" s="1"/>
  <c r="BE14" i="3"/>
  <c r="BD14" i="3"/>
  <c r="AB14" i="3"/>
  <c r="BE13" i="3"/>
  <c r="BE51" i="3" s="1"/>
  <c r="BD13" i="3"/>
  <c r="BD51" i="3" s="1"/>
  <c r="BE12" i="3"/>
  <c r="BE50" i="3" s="1"/>
  <c r="BD12" i="3"/>
  <c r="BD50" i="3" s="1"/>
  <c r="AB12" i="3"/>
  <c r="BE11" i="3"/>
  <c r="BE49" i="3" s="1"/>
  <c r="BD11" i="3"/>
  <c r="BD49" i="3" s="1"/>
  <c r="BE10" i="3"/>
  <c r="BE48" i="3" s="1"/>
  <c r="BD10" i="3"/>
  <c r="BD48" i="3" s="1"/>
  <c r="BE9" i="3"/>
  <c r="BE47" i="3" s="1"/>
  <c r="BD9" i="3"/>
  <c r="BD47" i="3" s="1"/>
  <c r="BE8" i="3"/>
  <c r="BE46" i="3" s="1"/>
  <c r="BD8" i="3"/>
  <c r="BD46" i="3" s="1"/>
  <c r="AB8" i="3"/>
  <c r="BE7" i="3"/>
  <c r="BE45" i="3" s="1"/>
  <c r="BD7" i="3"/>
  <c r="BD45" i="3" s="1"/>
  <c r="AB7" i="3"/>
  <c r="BE6" i="3"/>
  <c r="BE44" i="3" s="1"/>
  <c r="BD6" i="3"/>
  <c r="BD44" i="3" s="1"/>
  <c r="BE5" i="3"/>
  <c r="BE43" i="3" s="1"/>
  <c r="BD5" i="3"/>
  <c r="BD43" i="3" s="1"/>
  <c r="AB5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D72" i="2"/>
  <c r="BE69" i="2"/>
  <c r="BD66" i="2"/>
  <c r="BD63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F59" i="2"/>
  <c r="F58" i="2"/>
  <c r="N59" i="2"/>
  <c r="R54" i="2"/>
  <c r="S54" i="2" s="1"/>
  <c r="N58" i="2"/>
  <c r="R46" i="2"/>
  <c r="BI38" i="2"/>
  <c r="BF38" i="2"/>
  <c r="BY38" i="2"/>
  <c r="BX38" i="2"/>
  <c r="BW38" i="2"/>
  <c r="BV38" i="2"/>
  <c r="BS38" i="2"/>
  <c r="BP38" i="2"/>
  <c r="BL38" i="2"/>
  <c r="BG38" i="2"/>
  <c r="BN37" i="2"/>
  <c r="BG37" i="2"/>
  <c r="BF37" i="2"/>
  <c r="BY37" i="2"/>
  <c r="BX37" i="2"/>
  <c r="BW37" i="2"/>
  <c r="BT37" i="2"/>
  <c r="BS37" i="2"/>
  <c r="BQ37" i="2"/>
  <c r="BM37" i="2"/>
  <c r="BL37" i="2"/>
  <c r="BH37" i="2"/>
  <c r="BE36" i="2"/>
  <c r="BE73" i="2" s="1"/>
  <c r="BD36" i="2"/>
  <c r="BD73" i="2" s="1"/>
  <c r="AB36" i="2"/>
  <c r="BE35" i="2"/>
  <c r="BE72" i="2" s="1"/>
  <c r="BD35" i="2"/>
  <c r="BE34" i="2"/>
  <c r="BE71" i="2" s="1"/>
  <c r="BD34" i="2"/>
  <c r="BD71" i="2" s="1"/>
  <c r="BE33" i="2"/>
  <c r="BE70" i="2" s="1"/>
  <c r="BD33" i="2"/>
  <c r="BD70" i="2" s="1"/>
  <c r="BE32" i="2"/>
  <c r="BD32" i="2"/>
  <c r="BB32" i="2"/>
  <c r="AB32" i="2"/>
  <c r="BE31" i="2"/>
  <c r="BD31" i="2"/>
  <c r="BD69" i="2" s="1"/>
  <c r="BE30" i="2"/>
  <c r="BE68" i="2" s="1"/>
  <c r="BD30" i="2"/>
  <c r="BD68" i="2" s="1"/>
  <c r="BB30" i="2"/>
  <c r="AB30" i="2"/>
  <c r="BE29" i="2"/>
  <c r="BE67" i="2" s="1"/>
  <c r="BD29" i="2"/>
  <c r="BD67" i="2" s="1"/>
  <c r="BE28" i="2"/>
  <c r="BE66" i="2" s="1"/>
  <c r="BD28" i="2"/>
  <c r="BE27" i="2"/>
  <c r="BE65" i="2" s="1"/>
  <c r="BD27" i="2"/>
  <c r="BD65" i="2" s="1"/>
  <c r="BE26" i="2"/>
  <c r="BE64" i="2" s="1"/>
  <c r="BD26" i="2"/>
  <c r="BD64" i="2" s="1"/>
  <c r="BB26" i="2"/>
  <c r="AB26" i="2"/>
  <c r="BE25" i="2"/>
  <c r="BE63" i="2" s="1"/>
  <c r="BD25" i="2"/>
  <c r="BB25" i="2"/>
  <c r="AB25" i="2"/>
  <c r="BE24" i="2"/>
  <c r="BE62" i="2" s="1"/>
  <c r="BD24" i="2"/>
  <c r="BD62" i="2" s="1"/>
  <c r="BE23" i="2"/>
  <c r="BE61" i="2" s="1"/>
  <c r="BD23" i="2"/>
  <c r="BD61" i="2" s="1"/>
  <c r="BB23" i="2"/>
  <c r="AB23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T20" i="2"/>
  <c r="BO20" i="2"/>
  <c r="BN20" i="2"/>
  <c r="BY20" i="2"/>
  <c r="BX20" i="2"/>
  <c r="BS20" i="2"/>
  <c r="BR20" i="2"/>
  <c r="BQ20" i="2"/>
  <c r="BP20" i="2"/>
  <c r="BG20" i="2"/>
  <c r="BT19" i="2"/>
  <c r="BP19" i="2"/>
  <c r="BF19" i="2"/>
  <c r="BY19" i="2"/>
  <c r="BU19" i="2"/>
  <c r="BN19" i="2"/>
  <c r="BM19" i="2"/>
  <c r="BI19" i="2"/>
  <c r="BH19" i="2"/>
  <c r="BG19" i="2"/>
  <c r="BE18" i="2"/>
  <c r="BE55" i="2" s="1"/>
  <c r="BD18" i="2"/>
  <c r="BD55" i="2" s="1"/>
  <c r="BE17" i="2"/>
  <c r="BE54" i="2" s="1"/>
  <c r="BD17" i="2"/>
  <c r="BD54" i="2" s="1"/>
  <c r="BE16" i="2"/>
  <c r="BE53" i="2" s="1"/>
  <c r="BD16" i="2"/>
  <c r="BD53" i="2" s="1"/>
  <c r="BE15" i="2"/>
  <c r="BE52" i="2" s="1"/>
  <c r="BD15" i="2"/>
  <c r="BD52" i="2" s="1"/>
  <c r="AB15" i="2"/>
  <c r="BE14" i="2"/>
  <c r="BD14" i="2"/>
  <c r="AB14" i="2"/>
  <c r="BE13" i="2"/>
  <c r="BE51" i="2" s="1"/>
  <c r="BD13" i="2"/>
  <c r="BD51" i="2" s="1"/>
  <c r="AB13" i="2"/>
  <c r="BE12" i="2"/>
  <c r="BE50" i="2" s="1"/>
  <c r="BD12" i="2"/>
  <c r="BD50" i="2" s="1"/>
  <c r="AB12" i="2"/>
  <c r="BE11" i="2"/>
  <c r="BE49" i="2" s="1"/>
  <c r="BD11" i="2"/>
  <c r="BD49" i="2" s="1"/>
  <c r="BE10" i="2"/>
  <c r="BE48" i="2" s="1"/>
  <c r="BD10" i="2"/>
  <c r="BD48" i="2" s="1"/>
  <c r="BE9" i="2"/>
  <c r="BE47" i="2" s="1"/>
  <c r="BD9" i="2"/>
  <c r="BD47" i="2" s="1"/>
  <c r="BE8" i="2"/>
  <c r="BE46" i="2" s="1"/>
  <c r="BD8" i="2"/>
  <c r="BD46" i="2" s="1"/>
  <c r="AB8" i="2"/>
  <c r="BE7" i="2"/>
  <c r="BE45" i="2" s="1"/>
  <c r="BD7" i="2"/>
  <c r="BD45" i="2" s="1"/>
  <c r="AB7" i="2"/>
  <c r="BE6" i="2"/>
  <c r="BE44" i="2" s="1"/>
  <c r="BD6" i="2"/>
  <c r="BD44" i="2" s="1"/>
  <c r="BE5" i="2"/>
  <c r="BE43" i="2" s="1"/>
  <c r="BD5" i="2"/>
  <c r="BD43" i="2" s="1"/>
  <c r="AB5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F59" i="1"/>
  <c r="F58" i="1"/>
  <c r="BU38" i="1"/>
  <c r="BT38" i="1"/>
  <c r="BS38" i="1"/>
  <c r="BR38" i="1"/>
  <c r="BI38" i="1"/>
  <c r="BQ38" i="1"/>
  <c r="BP38" i="1"/>
  <c r="BO38" i="1"/>
  <c r="BN38" i="1"/>
  <c r="BM38" i="1"/>
  <c r="BF38" i="1"/>
  <c r="BV37" i="1"/>
  <c r="BS37" i="1"/>
  <c r="BJ37" i="1"/>
  <c r="BI37" i="1"/>
  <c r="BF37" i="1"/>
  <c r="BW37" i="1"/>
  <c r="CK34" i="1"/>
  <c r="DB34" i="1" s="1"/>
  <c r="BR37" i="1"/>
  <c r="BQ37" i="1"/>
  <c r="BP37" i="1"/>
  <c r="BO37" i="1"/>
  <c r="BH37" i="1"/>
  <c r="BG37" i="1"/>
  <c r="CP36" i="1"/>
  <c r="BE36" i="1"/>
  <c r="BE73" i="1" s="1"/>
  <c r="BD36" i="1"/>
  <c r="BD73" i="1" s="1"/>
  <c r="CJ36" i="1"/>
  <c r="DA36" i="1" s="1"/>
  <c r="CI36" i="1"/>
  <c r="CZ36" i="1" s="1"/>
  <c r="CE36" i="1"/>
  <c r="CV36" i="1" s="1"/>
  <c r="CP35" i="1"/>
  <c r="BE35" i="1"/>
  <c r="BE72" i="1" s="1"/>
  <c r="BD35" i="1"/>
  <c r="BD72" i="1" s="1"/>
  <c r="CE35" i="1"/>
  <c r="CV35" i="1" s="1"/>
  <c r="CI35" i="1"/>
  <c r="CZ35" i="1" s="1"/>
  <c r="CD35" i="1"/>
  <c r="CU35" i="1" s="1"/>
  <c r="CP34" i="1"/>
  <c r="BE34" i="1"/>
  <c r="BE71" i="1" s="1"/>
  <c r="BD34" i="1"/>
  <c r="BD71" i="1" s="1"/>
  <c r="CD34" i="1"/>
  <c r="CU34" i="1" s="1"/>
  <c r="CE34" i="1"/>
  <c r="CV34" i="1" s="1"/>
  <c r="CI34" i="1"/>
  <c r="CZ34" i="1" s="1"/>
  <c r="CC34" i="1"/>
  <c r="CP33" i="1"/>
  <c r="BE33" i="1"/>
  <c r="BE70" i="1" s="1"/>
  <c r="BD33" i="1"/>
  <c r="BD70" i="1" s="1"/>
  <c r="CE33" i="1"/>
  <c r="CV33" i="1" s="1"/>
  <c r="CJ33" i="1"/>
  <c r="DA33" i="1" s="1"/>
  <c r="CM33" i="1"/>
  <c r="DD33" i="1" s="1"/>
  <c r="CP32" i="1"/>
  <c r="BE32" i="1"/>
  <c r="BD32" i="1"/>
  <c r="CJ32" i="1"/>
  <c r="DA32" i="1" s="1"/>
  <c r="CH32" i="1"/>
  <c r="CY32" i="1" s="1"/>
  <c r="CP31" i="1"/>
  <c r="BE31" i="1"/>
  <c r="BE69" i="1" s="1"/>
  <c r="BD31" i="1"/>
  <c r="BD69" i="1" s="1"/>
  <c r="CE31" i="1"/>
  <c r="CV31" i="1" s="1"/>
  <c r="CJ31" i="1"/>
  <c r="DA31" i="1" s="1"/>
  <c r="CH31" i="1"/>
  <c r="CY31" i="1" s="1"/>
  <c r="CP30" i="1"/>
  <c r="BE30" i="1"/>
  <c r="BE68" i="1" s="1"/>
  <c r="BD30" i="1"/>
  <c r="BD68" i="1" s="1"/>
  <c r="CI30" i="1"/>
  <c r="CZ30" i="1" s="1"/>
  <c r="CH30" i="1"/>
  <c r="CY30" i="1" s="1"/>
  <c r="CP29" i="1"/>
  <c r="BE29" i="1"/>
  <c r="BE67" i="1" s="1"/>
  <c r="BD29" i="1"/>
  <c r="BD67" i="1" s="1"/>
  <c r="CE29" i="1"/>
  <c r="CV29" i="1" s="1"/>
  <c r="CJ29" i="1"/>
  <c r="CD29" i="1"/>
  <c r="CU29" i="1" s="1"/>
  <c r="CP28" i="1"/>
  <c r="BE28" i="1"/>
  <c r="BE66" i="1" s="1"/>
  <c r="BD28" i="1"/>
  <c r="BD66" i="1" s="1"/>
  <c r="CC28" i="1"/>
  <c r="CP27" i="1"/>
  <c r="CI27" i="1"/>
  <c r="CZ27" i="1" s="1"/>
  <c r="BE27" i="1"/>
  <c r="BE65" i="1" s="1"/>
  <c r="BD27" i="1"/>
  <c r="BD65" i="1" s="1"/>
  <c r="AB27" i="1"/>
  <c r="CJ27" i="1"/>
  <c r="CP26" i="1"/>
  <c r="BE26" i="1"/>
  <c r="BE64" i="1" s="1"/>
  <c r="BD26" i="1"/>
  <c r="BD64" i="1" s="1"/>
  <c r="CP25" i="1"/>
  <c r="CJ25" i="1"/>
  <c r="DA25" i="1" s="1"/>
  <c r="BE25" i="1"/>
  <c r="BE63" i="1" s="1"/>
  <c r="BD25" i="1"/>
  <c r="BD63" i="1" s="1"/>
  <c r="CE25" i="1"/>
  <c r="CV25" i="1" s="1"/>
  <c r="CP24" i="1"/>
  <c r="BE24" i="1"/>
  <c r="BE62" i="1" s="1"/>
  <c r="BD24" i="1"/>
  <c r="BD62" i="1" s="1"/>
  <c r="CI24" i="1"/>
  <c r="CZ24" i="1" s="1"/>
  <c r="CD24" i="1"/>
  <c r="CU24" i="1" s="1"/>
  <c r="CP23" i="1"/>
  <c r="BE23" i="1"/>
  <c r="BE61" i="1" s="1"/>
  <c r="BD23" i="1"/>
  <c r="BD61" i="1" s="1"/>
  <c r="BB23" i="1"/>
  <c r="AB23" i="1"/>
  <c r="CE23" i="1"/>
  <c r="CV23" i="1" s="1"/>
  <c r="CI23" i="1"/>
  <c r="CZ23" i="1" s="1"/>
  <c r="CD23" i="1"/>
  <c r="CU23" i="1" s="1"/>
  <c r="DD22" i="1"/>
  <c r="DC22" i="1"/>
  <c r="DB22" i="1"/>
  <c r="DA22" i="1"/>
  <c r="CZ22" i="1"/>
  <c r="CY22" i="1"/>
  <c r="CX22" i="1"/>
  <c r="CW22" i="1"/>
  <c r="CV22" i="1"/>
  <c r="CU22" i="1"/>
  <c r="CT22" i="1"/>
  <c r="CN22" i="1"/>
  <c r="CM22" i="1"/>
  <c r="CL22" i="1"/>
  <c r="CK22" i="1"/>
  <c r="CJ22" i="1"/>
  <c r="CI22" i="1"/>
  <c r="CH22" i="1"/>
  <c r="CG22" i="1"/>
  <c r="CE22" i="1"/>
  <c r="CD22" i="1"/>
  <c r="CC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W20" i="1"/>
  <c r="BK20" i="1"/>
  <c r="BJ20" i="1"/>
  <c r="BI20" i="1"/>
  <c r="BG20" i="1"/>
  <c r="BF20" i="1"/>
  <c r="BT20" i="1"/>
  <c r="BS20" i="1"/>
  <c r="BR20" i="1"/>
  <c r="BQ20" i="1"/>
  <c r="BH20" i="1"/>
  <c r="CM19" i="1"/>
  <c r="CL19" i="1"/>
  <c r="CK19" i="1"/>
  <c r="CJ19" i="1"/>
  <c r="CI19" i="1"/>
  <c r="CG19" i="1"/>
  <c r="CF19" i="1"/>
  <c r="CE19" i="1"/>
  <c r="CC19" i="1"/>
  <c r="BX19" i="1"/>
  <c r="BR19" i="1"/>
  <c r="BQ19" i="1"/>
  <c r="BL19" i="1"/>
  <c r="BI19" i="1"/>
  <c r="BF19" i="1"/>
  <c r="CG10" i="1"/>
  <c r="CX10" i="1" s="1"/>
  <c r="CK7" i="1"/>
  <c r="BT19" i="1"/>
  <c r="BN19" i="1"/>
  <c r="BH19" i="1"/>
  <c r="CP18" i="1"/>
  <c r="BE18" i="1"/>
  <c r="BE55" i="1" s="1"/>
  <c r="BD18" i="1"/>
  <c r="BD55" i="1" s="1"/>
  <c r="CJ18" i="1"/>
  <c r="DA18" i="1" s="1"/>
  <c r="CI18" i="1"/>
  <c r="CZ18" i="1" s="1"/>
  <c r="CP17" i="1"/>
  <c r="CJ17" i="1"/>
  <c r="DA17" i="1" s="1"/>
  <c r="BE17" i="1"/>
  <c r="BE54" i="1" s="1"/>
  <c r="BD17" i="1"/>
  <c r="BD54" i="1" s="1"/>
  <c r="CK17" i="1"/>
  <c r="CE17" i="1"/>
  <c r="CV17" i="1" s="1"/>
  <c r="CI17" i="1"/>
  <c r="CP16" i="1"/>
  <c r="BE16" i="1"/>
  <c r="BE53" i="1" s="1"/>
  <c r="BD16" i="1"/>
  <c r="BD53" i="1" s="1"/>
  <c r="CI16" i="1"/>
  <c r="CZ16" i="1" s="1"/>
  <c r="CC16" i="1"/>
  <c r="CP15" i="1"/>
  <c r="BE15" i="1"/>
  <c r="BE52" i="1" s="1"/>
  <c r="BD15" i="1"/>
  <c r="BD52" i="1" s="1"/>
  <c r="CE15" i="1"/>
  <c r="CV15" i="1" s="1"/>
  <c r="CJ15" i="1"/>
  <c r="CD15" i="1"/>
  <c r="CU15" i="1" s="1"/>
  <c r="CP14" i="1"/>
  <c r="BE14" i="1"/>
  <c r="BD14" i="1"/>
  <c r="AB14" i="1"/>
  <c r="BC14" i="1" s="1"/>
  <c r="CL14" i="1"/>
  <c r="DC14" i="1" s="1"/>
  <c r="CE14" i="1"/>
  <c r="CV14" i="1" s="1"/>
  <c r="CJ14" i="1"/>
  <c r="DA14" i="1" s="1"/>
  <c r="CI14" i="1"/>
  <c r="CZ14" i="1" s="1"/>
  <c r="CD14" i="1"/>
  <c r="CU14" i="1" s="1"/>
  <c r="CP13" i="1"/>
  <c r="CC13" i="1"/>
  <c r="BE13" i="1"/>
  <c r="BE51" i="1" s="1"/>
  <c r="BD13" i="1"/>
  <c r="BD51" i="1" s="1"/>
  <c r="CI13" i="1"/>
  <c r="CD13" i="1"/>
  <c r="CU13" i="1" s="1"/>
  <c r="CP12" i="1"/>
  <c r="CJ12" i="1"/>
  <c r="DA12" i="1" s="1"/>
  <c r="BE12" i="1"/>
  <c r="BE50" i="1" s="1"/>
  <c r="BD12" i="1"/>
  <c r="BD50" i="1" s="1"/>
  <c r="AB12" i="1"/>
  <c r="BC12" i="1" s="1"/>
  <c r="CM12" i="1"/>
  <c r="DD12" i="1" s="1"/>
  <c r="CE12" i="1"/>
  <c r="CV12" i="1" s="1"/>
  <c r="CD12" i="1"/>
  <c r="CU12" i="1" s="1"/>
  <c r="CP11" i="1"/>
  <c r="BE11" i="1"/>
  <c r="BE49" i="1" s="1"/>
  <c r="BD11" i="1"/>
  <c r="BD49" i="1" s="1"/>
  <c r="CJ11" i="1"/>
  <c r="CI11" i="1"/>
  <c r="CD11" i="1"/>
  <c r="CU11" i="1" s="1"/>
  <c r="CP10" i="1"/>
  <c r="CI10" i="1"/>
  <c r="CZ10" i="1" s="1"/>
  <c r="BE10" i="1"/>
  <c r="BE48" i="1" s="1"/>
  <c r="BD10" i="1"/>
  <c r="BD48" i="1" s="1"/>
  <c r="CH10" i="1"/>
  <c r="CY10" i="1" s="1"/>
  <c r="CJ10" i="1"/>
  <c r="DA10" i="1" s="1"/>
  <c r="CD10" i="1"/>
  <c r="CU10" i="1" s="1"/>
  <c r="CP9" i="1"/>
  <c r="BE9" i="1"/>
  <c r="BE47" i="1" s="1"/>
  <c r="BD9" i="1"/>
  <c r="BD47" i="1" s="1"/>
  <c r="CJ9" i="1"/>
  <c r="CI9" i="1"/>
  <c r="CD9" i="1"/>
  <c r="CU9" i="1" s="1"/>
  <c r="CH9" i="1"/>
  <c r="CP8" i="1"/>
  <c r="CH8" i="1"/>
  <c r="CY8" i="1" s="1"/>
  <c r="CF8" i="1"/>
  <c r="CW8" i="1" s="1"/>
  <c r="BE8" i="1"/>
  <c r="BE46" i="1" s="1"/>
  <c r="BD8" i="1"/>
  <c r="BD46" i="1" s="1"/>
  <c r="AB8" i="1"/>
  <c r="BC8" i="1" s="1"/>
  <c r="CM8" i="1"/>
  <c r="DD8" i="1" s="1"/>
  <c r="CD8" i="1"/>
  <c r="CU8" i="1" s="1"/>
  <c r="CP7" i="1"/>
  <c r="CD7" i="1"/>
  <c r="CU7" i="1" s="1"/>
  <c r="BE7" i="1"/>
  <c r="BE45" i="1" s="1"/>
  <c r="BD7" i="1"/>
  <c r="BD45" i="1" s="1"/>
  <c r="AB7" i="1"/>
  <c r="BC7" i="1" s="1"/>
  <c r="CE7" i="1"/>
  <c r="CV7" i="1" s="1"/>
  <c r="CJ7" i="1"/>
  <c r="CI7" i="1"/>
  <c r="CP6" i="1"/>
  <c r="BE6" i="1"/>
  <c r="BE44" i="1" s="1"/>
  <c r="BD6" i="1"/>
  <c r="BD44" i="1" s="1"/>
  <c r="CI6" i="1"/>
  <c r="CZ6" i="1" s="1"/>
  <c r="CD6" i="1"/>
  <c r="CU6" i="1" s="1"/>
  <c r="CC6" i="1"/>
  <c r="CP5" i="1"/>
  <c r="CJ5" i="1"/>
  <c r="DA5" i="1" s="1"/>
  <c r="BE5" i="1"/>
  <c r="BE43" i="1" s="1"/>
  <c r="BD5" i="1"/>
  <c r="BD43" i="1" s="1"/>
  <c r="AB5" i="1"/>
  <c r="BC5" i="1" s="1"/>
  <c r="CH5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CM2" i="1"/>
  <c r="CM20" i="1" s="1"/>
  <c r="CL2" i="1"/>
  <c r="CL20" i="1" s="1"/>
  <c r="CK2" i="1"/>
  <c r="CK20" i="1" s="1"/>
  <c r="CJ2" i="1"/>
  <c r="CJ20" i="1" s="1"/>
  <c r="CI2" i="1"/>
  <c r="CI20" i="1" s="1"/>
  <c r="CG2" i="1"/>
  <c r="CG20" i="1" s="1"/>
  <c r="CF2" i="1"/>
  <c r="CF20" i="1" s="1"/>
  <c r="CE2" i="1"/>
  <c r="CE20" i="1" s="1"/>
  <c r="CC2" i="1"/>
  <c r="CC20" i="1" s="1"/>
  <c r="CH1" i="1"/>
  <c r="CH19" i="1" s="1"/>
  <c r="BC23" i="1" l="1"/>
  <c r="CK25" i="1"/>
  <c r="DB25" i="1" s="1"/>
  <c r="CF30" i="1"/>
  <c r="CW30" i="1" s="1"/>
  <c r="CK33" i="1"/>
  <c r="DB33" i="1" s="1"/>
  <c r="CF26" i="1"/>
  <c r="CW26" i="1" s="1"/>
  <c r="CK31" i="1"/>
  <c r="DB31" i="1" s="1"/>
  <c r="CK36" i="1"/>
  <c r="DB36" i="1" s="1"/>
  <c r="CK27" i="1"/>
  <c r="DB27" i="1" s="1"/>
  <c r="CF23" i="1"/>
  <c r="CW23" i="1" s="1"/>
  <c r="CF29" i="1"/>
  <c r="CW29" i="1" s="1"/>
  <c r="CL13" i="1"/>
  <c r="DC13" i="1" s="1"/>
  <c r="CG8" i="1"/>
  <c r="CX8" i="1" s="1"/>
  <c r="CK11" i="1"/>
  <c r="DB11" i="1" s="1"/>
  <c r="CL11" i="1"/>
  <c r="DC11" i="1" s="1"/>
  <c r="CF11" i="1"/>
  <c r="CW11" i="1" s="1"/>
  <c r="CG9" i="1"/>
  <c r="CX9" i="1" s="1"/>
  <c r="CL7" i="1"/>
  <c r="DC7" i="1" s="1"/>
  <c r="CK8" i="1"/>
  <c r="DB8" i="1" s="1"/>
  <c r="CK5" i="1"/>
  <c r="DB5" i="1" s="1"/>
  <c r="CF9" i="1"/>
  <c r="CW9" i="1" s="1"/>
  <c r="CK12" i="1"/>
  <c r="DB12" i="1" s="1"/>
  <c r="CL6" i="1"/>
  <c r="DC6" i="1" s="1"/>
  <c r="CF6" i="1"/>
  <c r="CW6" i="1" s="1"/>
  <c r="CF18" i="1"/>
  <c r="CW18" i="1" s="1"/>
  <c r="N59" i="4"/>
  <c r="R54" i="4"/>
  <c r="S54" i="4" s="1"/>
  <c r="R56" i="4"/>
  <c r="S56" i="4" s="1"/>
  <c r="AB23" i="4"/>
  <c r="AC23" i="4" s="1"/>
  <c r="AB11" i="4"/>
  <c r="AC11" i="4" s="1"/>
  <c r="AB14" i="4"/>
  <c r="AB10" i="4"/>
  <c r="AC10" i="4" s="1"/>
  <c r="BB16" i="4"/>
  <c r="BB11" i="4"/>
  <c r="AB27" i="4"/>
  <c r="AC27" i="4" s="1"/>
  <c r="BB30" i="4"/>
  <c r="AB36" i="4"/>
  <c r="AC36" i="4" s="1"/>
  <c r="R50" i="4"/>
  <c r="N58" i="4"/>
  <c r="BB27" i="3"/>
  <c r="AC7" i="3"/>
  <c r="BS7" i="3" s="1"/>
  <c r="BQ45" i="3" s="1"/>
  <c r="BM20" i="3"/>
  <c r="AB33" i="3"/>
  <c r="AC33" i="3" s="1"/>
  <c r="BG38" i="3"/>
  <c r="AB11" i="3"/>
  <c r="AC11" i="3" s="1"/>
  <c r="BP11" i="3" s="1"/>
  <c r="AB16" i="3"/>
  <c r="V54" i="3" s="1"/>
  <c r="BF19" i="3"/>
  <c r="BY19" i="3"/>
  <c r="BB36" i="3"/>
  <c r="BH38" i="3"/>
  <c r="Q59" i="3"/>
  <c r="O59" i="3"/>
  <c r="BB18" i="3"/>
  <c r="BP20" i="3"/>
  <c r="BI38" i="3"/>
  <c r="BI19" i="3"/>
  <c r="BT37" i="3"/>
  <c r="BJ19" i="3"/>
  <c r="BU37" i="3"/>
  <c r="BV37" i="3"/>
  <c r="AB31" i="3"/>
  <c r="Q58" i="3"/>
  <c r="R56" i="3"/>
  <c r="S56" i="3" s="1"/>
  <c r="BY37" i="3"/>
  <c r="BS38" i="3"/>
  <c r="R43" i="2"/>
  <c r="BM38" i="2"/>
  <c r="R50" i="2"/>
  <c r="R44" i="2"/>
  <c r="BB13" i="2"/>
  <c r="BP37" i="2"/>
  <c r="AB9" i="2"/>
  <c r="AC9" i="2" s="1"/>
  <c r="BF20" i="2"/>
  <c r="BR37" i="2"/>
  <c r="BQ38" i="2"/>
  <c r="BB17" i="2"/>
  <c r="BQ19" i="2"/>
  <c r="BR38" i="2"/>
  <c r="Q59" i="2"/>
  <c r="BH20" i="2"/>
  <c r="BR19" i="2"/>
  <c r="BU38" i="2"/>
  <c r="R53" i="2"/>
  <c r="P59" i="2"/>
  <c r="BO37" i="2"/>
  <c r="BS19" i="2"/>
  <c r="R48" i="2"/>
  <c r="AB29" i="2"/>
  <c r="AC29" i="2" s="1"/>
  <c r="BB15" i="2"/>
  <c r="AC23" i="2"/>
  <c r="BW23" i="2" s="1"/>
  <c r="AD20" i="1"/>
  <c r="CG11" i="1"/>
  <c r="CX11" i="1" s="1"/>
  <c r="CG13" i="1"/>
  <c r="CX13" i="1" s="1"/>
  <c r="BO19" i="1"/>
  <c r="CC31" i="1"/>
  <c r="CT31" i="1" s="1"/>
  <c r="AB36" i="1"/>
  <c r="K58" i="1"/>
  <c r="CM6" i="1"/>
  <c r="DD6" i="1" s="1"/>
  <c r="CJ13" i="1"/>
  <c r="DA13" i="1" s="1"/>
  <c r="CE30" i="1"/>
  <c r="CV30" i="1" s="1"/>
  <c r="CG6" i="1"/>
  <c r="CX6" i="1" s="1"/>
  <c r="CC7" i="1"/>
  <c r="CT7" i="1" s="1"/>
  <c r="CE8" i="1"/>
  <c r="CV8" i="1" s="1"/>
  <c r="CH11" i="1"/>
  <c r="CY11" i="1" s="1"/>
  <c r="CF13" i="1"/>
  <c r="CW13" i="1" s="1"/>
  <c r="CK15" i="1"/>
  <c r="DB15" i="1" s="1"/>
  <c r="CL16" i="1"/>
  <c r="DC16" i="1" s="1"/>
  <c r="CE18" i="1"/>
  <c r="CV18" i="1" s="1"/>
  <c r="BS19" i="1"/>
  <c r="BL20" i="1"/>
  <c r="CF33" i="1"/>
  <c r="CW33" i="1" s="1"/>
  <c r="BK37" i="1"/>
  <c r="CE28" i="1"/>
  <c r="CV28" i="1" s="1"/>
  <c r="BM37" i="1"/>
  <c r="CG7" i="1"/>
  <c r="CX7" i="1" s="1"/>
  <c r="CM9" i="1"/>
  <c r="DD9" i="1" s="1"/>
  <c r="CM15" i="1"/>
  <c r="DD15" i="1" s="1"/>
  <c r="AB15" i="1"/>
  <c r="AC15" i="1" s="1"/>
  <c r="BY19" i="1"/>
  <c r="BY20" i="1" s="1"/>
  <c r="BU20" i="1"/>
  <c r="CD27" i="1"/>
  <c r="CU27" i="1" s="1"/>
  <c r="CM28" i="1"/>
  <c r="DD28" i="1" s="1"/>
  <c r="CK32" i="1"/>
  <c r="DB32" i="1" s="1"/>
  <c r="BN37" i="1"/>
  <c r="BG38" i="1"/>
  <c r="S56" i="1"/>
  <c r="CL12" i="1"/>
  <c r="DC12" i="1" s="1"/>
  <c r="CM32" i="1"/>
  <c r="DD32" i="1" s="1"/>
  <c r="CG14" i="1"/>
  <c r="CX14" i="1" s="1"/>
  <c r="CH2" i="1"/>
  <c r="CH20" i="1" s="1"/>
  <c r="CE6" i="1"/>
  <c r="CV6" i="1" s="1"/>
  <c r="CH12" i="1"/>
  <c r="CY12" i="1" s="1"/>
  <c r="BV20" i="1"/>
  <c r="CI26" i="1"/>
  <c r="CZ26" i="1" s="1"/>
  <c r="CM31" i="1"/>
  <c r="DD31" i="1" s="1"/>
  <c r="CE32" i="1"/>
  <c r="CV32" i="1" s="1"/>
  <c r="CC33" i="1"/>
  <c r="CT33" i="1" s="1"/>
  <c r="CF34" i="1"/>
  <c r="CW34" i="1" s="1"/>
  <c r="BH38" i="1"/>
  <c r="CE13" i="1"/>
  <c r="CV13" i="1" s="1"/>
  <c r="AB25" i="1"/>
  <c r="AC25" i="1" s="1"/>
  <c r="CC23" i="1"/>
  <c r="CT23" i="1" s="1"/>
  <c r="CM27" i="1"/>
  <c r="DD27" i="1" s="1"/>
  <c r="CD30" i="1"/>
  <c r="CU30" i="1" s="1"/>
  <c r="BB30" i="1"/>
  <c r="CK35" i="1"/>
  <c r="DB35" i="1" s="1"/>
  <c r="P59" i="1"/>
  <c r="M58" i="1"/>
  <c r="M59" i="1"/>
  <c r="CE5" i="1"/>
  <c r="CV5" i="1" s="1"/>
  <c r="BO20" i="1"/>
  <c r="CK6" i="1"/>
  <c r="DB6" i="1" s="1"/>
  <c r="CL10" i="1"/>
  <c r="DC10" i="1" s="1"/>
  <c r="BX20" i="1"/>
  <c r="CC32" i="1"/>
  <c r="CT32" i="1" s="1"/>
  <c r="BB36" i="1"/>
  <c r="BC36" i="1" s="1"/>
  <c r="CF31" i="1"/>
  <c r="CW31" i="1" s="1"/>
  <c r="BT37" i="1"/>
  <c r="N58" i="1"/>
  <c r="CF7" i="1"/>
  <c r="CW7" i="1" s="1"/>
  <c r="CK26" i="1"/>
  <c r="DB26" i="1" s="1"/>
  <c r="CK29" i="1"/>
  <c r="DB29" i="1" s="1"/>
  <c r="CF5" i="1"/>
  <c r="CW5" i="1" s="1"/>
  <c r="CE9" i="1"/>
  <c r="CV9" i="1" s="1"/>
  <c r="CG12" i="1"/>
  <c r="CX12" i="1" s="1"/>
  <c r="BG19" i="1"/>
  <c r="CH28" i="1"/>
  <c r="CY28" i="1" s="1"/>
  <c r="CJ34" i="1"/>
  <c r="DA34" i="1" s="1"/>
  <c r="BU37" i="1"/>
  <c r="AB25" i="4"/>
  <c r="AC25" i="4" s="1"/>
  <c r="BB25" i="4"/>
  <c r="BB27" i="4"/>
  <c r="AB15" i="4"/>
  <c r="AC15" i="4" s="1"/>
  <c r="BB15" i="4"/>
  <c r="AB31" i="4"/>
  <c r="AC31" i="4" s="1"/>
  <c r="BJ31" i="4" s="1"/>
  <c r="BJ69" i="4" s="1"/>
  <c r="BB31" i="4"/>
  <c r="BB36" i="4"/>
  <c r="Q59" i="4"/>
  <c r="BB10" i="4"/>
  <c r="BB32" i="4"/>
  <c r="AB32" i="4"/>
  <c r="AC32" i="4" s="1"/>
  <c r="R43" i="4"/>
  <c r="BB6" i="4"/>
  <c r="AB6" i="4"/>
  <c r="AC6" i="4" s="1"/>
  <c r="AB16" i="4"/>
  <c r="R44" i="4"/>
  <c r="AC16" i="4"/>
  <c r="BB28" i="4"/>
  <c r="AB28" i="4"/>
  <c r="AC28" i="4" s="1"/>
  <c r="AB7" i="4"/>
  <c r="AC7" i="4" s="1"/>
  <c r="AB13" i="4"/>
  <c r="AC13" i="4" s="1"/>
  <c r="BB13" i="4"/>
  <c r="K58" i="4"/>
  <c r="R53" i="4"/>
  <c r="AB18" i="4"/>
  <c r="AC18" i="4" s="1"/>
  <c r="BB18" i="4"/>
  <c r="AC5" i="4"/>
  <c r="BV5" i="4" s="1"/>
  <c r="BB24" i="4"/>
  <c r="AB30" i="4"/>
  <c r="AC30" i="4" s="1"/>
  <c r="R51" i="4"/>
  <c r="R58" i="4" s="1"/>
  <c r="M58" i="4"/>
  <c r="AB33" i="4"/>
  <c r="AC33" i="4" s="1"/>
  <c r="BL33" i="4" s="1"/>
  <c r="BL70" i="4" s="1"/>
  <c r="BB33" i="4"/>
  <c r="R49" i="4"/>
  <c r="R52" i="4"/>
  <c r="BB9" i="4"/>
  <c r="AB9" i="4"/>
  <c r="AC9" i="4" s="1"/>
  <c r="AC24" i="4"/>
  <c r="BH24" i="4" s="1"/>
  <c r="BH62" i="4" s="1"/>
  <c r="BU5" i="4"/>
  <c r="BR43" i="4" s="1"/>
  <c r="AB8" i="4"/>
  <c r="AC8" i="4" s="1"/>
  <c r="BB35" i="4"/>
  <c r="AB35" i="4"/>
  <c r="AC35" i="4" s="1"/>
  <c r="M59" i="4"/>
  <c r="BB17" i="4"/>
  <c r="AB17" i="4"/>
  <c r="AC17" i="4" s="1"/>
  <c r="BM17" i="4" s="1"/>
  <c r="BM54" i="4" s="1"/>
  <c r="AB12" i="4"/>
  <c r="AC12" i="4" s="1"/>
  <c r="BB29" i="4"/>
  <c r="BB34" i="4"/>
  <c r="AB34" i="4"/>
  <c r="AC34" i="4" s="1"/>
  <c r="BS5" i="4"/>
  <c r="BQ43" i="4" s="1"/>
  <c r="AC14" i="4"/>
  <c r="BI14" i="4" s="1"/>
  <c r="BR14" i="4"/>
  <c r="BB23" i="4"/>
  <c r="AC29" i="4"/>
  <c r="BX29" i="4" s="1"/>
  <c r="R46" i="4"/>
  <c r="R48" i="4"/>
  <c r="BB26" i="4"/>
  <c r="AB26" i="4"/>
  <c r="AC26" i="4" s="1"/>
  <c r="P59" i="4"/>
  <c r="R45" i="4"/>
  <c r="R47" i="4"/>
  <c r="R55" i="4"/>
  <c r="K59" i="4"/>
  <c r="BB10" i="3"/>
  <c r="AB10" i="3"/>
  <c r="AC10" i="3" s="1"/>
  <c r="BQ20" i="3"/>
  <c r="AB15" i="3"/>
  <c r="BB15" i="3"/>
  <c r="BG20" i="3"/>
  <c r="BS20" i="3"/>
  <c r="BG7" i="3"/>
  <c r="AC14" i="3"/>
  <c r="BM14" i="3" s="1"/>
  <c r="AC25" i="3"/>
  <c r="BT25" i="3" s="1"/>
  <c r="BR25" i="3"/>
  <c r="BP63" i="3" s="1"/>
  <c r="BB6" i="3"/>
  <c r="AB6" i="3"/>
  <c r="AC6" i="3" s="1"/>
  <c r="BB9" i="3"/>
  <c r="AB9" i="3"/>
  <c r="AC9" i="3" s="1"/>
  <c r="AC12" i="3"/>
  <c r="BH12" i="3" s="1"/>
  <c r="BH50" i="3" s="1"/>
  <c r="AC15" i="3"/>
  <c r="BU15" i="3" s="1"/>
  <c r="BR52" i="3" s="1"/>
  <c r="AB17" i="3"/>
  <c r="AC17" i="3" s="1"/>
  <c r="BB17" i="3"/>
  <c r="BI7" i="3"/>
  <c r="BI45" i="3" s="1"/>
  <c r="BJ7" i="3"/>
  <c r="BJ45" i="3" s="1"/>
  <c r="BG19" i="3"/>
  <c r="BS19" i="3"/>
  <c r="BB24" i="3"/>
  <c r="AC5" i="3"/>
  <c r="AC8" i="3"/>
  <c r="BF8" i="3" s="1"/>
  <c r="BB11" i="3"/>
  <c r="BQ38" i="3"/>
  <c r="BQ19" i="3"/>
  <c r="BU7" i="3"/>
  <c r="BR45" i="3" s="1"/>
  <c r="R54" i="3"/>
  <c r="S54" i="3" s="1"/>
  <c r="AC30" i="3"/>
  <c r="BH30" i="3" s="1"/>
  <c r="BH68" i="3" s="1"/>
  <c r="AC23" i="3"/>
  <c r="BB13" i="3"/>
  <c r="AB13" i="3"/>
  <c r="AC13" i="3" s="1"/>
  <c r="BN13" i="3" s="1"/>
  <c r="BB33" i="3"/>
  <c r="BM37" i="3"/>
  <c r="BF38" i="3"/>
  <c r="BR38" i="3"/>
  <c r="BN37" i="3"/>
  <c r="BN7" i="3"/>
  <c r="BB16" i="3"/>
  <c r="AB18" i="3"/>
  <c r="V56" i="3" s="1"/>
  <c r="BK38" i="3"/>
  <c r="BO19" i="3"/>
  <c r="AB28" i="3"/>
  <c r="AC28" i="3" s="1"/>
  <c r="BB28" i="3"/>
  <c r="AB29" i="3"/>
  <c r="AC29" i="3" s="1"/>
  <c r="P59" i="3"/>
  <c r="AC27" i="3"/>
  <c r="BM27" i="3" s="1"/>
  <c r="BM65" i="3" s="1"/>
  <c r="AC26" i="3"/>
  <c r="BO26" i="3" s="1"/>
  <c r="BB29" i="3"/>
  <c r="BY23" i="3"/>
  <c r="BS61" i="3" s="1"/>
  <c r="AB36" i="3"/>
  <c r="R45" i="3"/>
  <c r="BQ37" i="3"/>
  <c r="R48" i="3"/>
  <c r="R53" i="3"/>
  <c r="K58" i="3"/>
  <c r="AB24" i="3"/>
  <c r="AC24" i="3" s="1"/>
  <c r="BL38" i="3"/>
  <c r="BX38" i="3"/>
  <c r="R44" i="3"/>
  <c r="BM38" i="3"/>
  <c r="BY38" i="3"/>
  <c r="AB34" i="3"/>
  <c r="AC34" i="3" s="1"/>
  <c r="BB34" i="3"/>
  <c r="K59" i="3"/>
  <c r="R55" i="3"/>
  <c r="BX20" i="3"/>
  <c r="AC32" i="3"/>
  <c r="BG32" i="3" s="1"/>
  <c r="BR32" i="3"/>
  <c r="BO37" i="3"/>
  <c r="R50" i="3"/>
  <c r="M59" i="3"/>
  <c r="BB35" i="3"/>
  <c r="R46" i="3"/>
  <c r="AB35" i="3"/>
  <c r="AC35" i="3" s="1"/>
  <c r="R51" i="3"/>
  <c r="BL37" i="3"/>
  <c r="BX37" i="3"/>
  <c r="BJ38" i="3"/>
  <c r="BV38" i="3"/>
  <c r="AC15" i="2"/>
  <c r="BN15" i="2" s="1"/>
  <c r="AC8" i="2"/>
  <c r="BS8" i="2" s="1"/>
  <c r="BQ46" i="2" s="1"/>
  <c r="AC11" i="2"/>
  <c r="BN11" i="2" s="1"/>
  <c r="BB24" i="2"/>
  <c r="AB24" i="2"/>
  <c r="AC24" i="2" s="1"/>
  <c r="BN24" i="2" s="1"/>
  <c r="BF24" i="2"/>
  <c r="BB9" i="2"/>
  <c r="BJ19" i="2"/>
  <c r="BV19" i="2"/>
  <c r="BK19" i="2"/>
  <c r="BL19" i="2"/>
  <c r="BX19" i="2"/>
  <c r="BW19" i="2"/>
  <c r="AB11" i="2"/>
  <c r="BB11" i="2"/>
  <c r="AC13" i="2"/>
  <c r="BU13" i="2" s="1"/>
  <c r="BR51" i="2" s="1"/>
  <c r="AC5" i="2"/>
  <c r="BO5" i="2" s="1"/>
  <c r="AC7" i="2"/>
  <c r="BO7" i="2" s="1"/>
  <c r="AB10" i="2"/>
  <c r="BB10" i="2"/>
  <c r="AC25" i="2"/>
  <c r="BT25" i="2" s="1"/>
  <c r="AB31" i="2"/>
  <c r="AC31" i="2" s="1"/>
  <c r="BY31" i="2" s="1"/>
  <c r="BS69" i="2" s="1"/>
  <c r="BB31" i="2"/>
  <c r="BV20" i="2"/>
  <c r="BX5" i="2"/>
  <c r="BB18" i="2"/>
  <c r="BK20" i="2"/>
  <c r="BW20" i="2"/>
  <c r="BP5" i="2"/>
  <c r="BJ15" i="2"/>
  <c r="BJ52" i="2" s="1"/>
  <c r="BB16" i="2"/>
  <c r="AB16" i="2"/>
  <c r="AC16" i="2" s="1"/>
  <c r="BM16" i="2" s="1"/>
  <c r="BM53" i="2" s="1"/>
  <c r="BL20" i="2"/>
  <c r="AC32" i="2"/>
  <c r="BT32" i="2" s="1"/>
  <c r="BJ32" i="2"/>
  <c r="BB35" i="2"/>
  <c r="AB35" i="2"/>
  <c r="AC35" i="2" s="1"/>
  <c r="BB6" i="2"/>
  <c r="AB6" i="2"/>
  <c r="BJ20" i="2"/>
  <c r="AC26" i="2"/>
  <c r="BF26" i="2" s="1"/>
  <c r="BB27" i="2"/>
  <c r="AB27" i="2"/>
  <c r="AC27" i="2" s="1"/>
  <c r="BV27" i="2" s="1"/>
  <c r="BV32" i="2"/>
  <c r="AC6" i="2"/>
  <c r="BT6" i="2" s="1"/>
  <c r="BJ38" i="2"/>
  <c r="BO19" i="2"/>
  <c r="R56" i="2"/>
  <c r="AC14" i="2"/>
  <c r="BJ14" i="2" s="1"/>
  <c r="BN38" i="2"/>
  <c r="BM20" i="2"/>
  <c r="BW25" i="2"/>
  <c r="AC12" i="2"/>
  <c r="BX12" i="2" s="1"/>
  <c r="AB18" i="2"/>
  <c r="BI20" i="2"/>
  <c r="BB33" i="2"/>
  <c r="AB33" i="2"/>
  <c r="BO38" i="2"/>
  <c r="R45" i="2"/>
  <c r="AB17" i="2"/>
  <c r="AC17" i="2" s="1"/>
  <c r="BJ24" i="2"/>
  <c r="BJ62" i="2" s="1"/>
  <c r="BG14" i="2"/>
  <c r="BL15" i="2"/>
  <c r="BL52" i="2" s="1"/>
  <c r="AC18" i="2"/>
  <c r="BW18" i="2" s="1"/>
  <c r="BB28" i="2"/>
  <c r="AB28" i="2"/>
  <c r="AC28" i="2" s="1"/>
  <c r="AC30" i="2"/>
  <c r="BL30" i="2" s="1"/>
  <c r="BL68" i="2" s="1"/>
  <c r="BU20" i="2"/>
  <c r="AC33" i="2"/>
  <c r="BJ33" i="2" s="1"/>
  <c r="BJ70" i="2" s="1"/>
  <c r="BI37" i="2"/>
  <c r="BU37" i="2"/>
  <c r="R55" i="2"/>
  <c r="BJ37" i="2"/>
  <c r="BV37" i="2"/>
  <c r="R49" i="2"/>
  <c r="R51" i="2"/>
  <c r="K58" i="2"/>
  <c r="BK37" i="2"/>
  <c r="AC36" i="2"/>
  <c r="BM36" i="2" s="1"/>
  <c r="BM73" i="2" s="1"/>
  <c r="M58" i="2"/>
  <c r="K59" i="2"/>
  <c r="BK38" i="2"/>
  <c r="R52" i="2"/>
  <c r="BI14" i="2"/>
  <c r="BB29" i="2"/>
  <c r="BB34" i="2"/>
  <c r="AB34" i="2"/>
  <c r="AC34" i="2" s="1"/>
  <c r="BB36" i="2"/>
  <c r="R47" i="2"/>
  <c r="P58" i="2"/>
  <c r="Q58" i="2"/>
  <c r="BH38" i="2"/>
  <c r="BT38" i="2"/>
  <c r="M59" i="2"/>
  <c r="BL25" i="2"/>
  <c r="BL63" i="2" s="1"/>
  <c r="CT6" i="1"/>
  <c r="AC8" i="1"/>
  <c r="BW8" i="1" s="1"/>
  <c r="AC12" i="1"/>
  <c r="BL12" i="1" s="1"/>
  <c r="BL50" i="1" s="1"/>
  <c r="CC14" i="1"/>
  <c r="CI8" i="1"/>
  <c r="CZ8" i="1" s="1"/>
  <c r="BQ5" i="1"/>
  <c r="BO43" i="1" s="1"/>
  <c r="BN20" i="1"/>
  <c r="CL5" i="1"/>
  <c r="DC5" i="1" s="1"/>
  <c r="CT16" i="1"/>
  <c r="CM5" i="1"/>
  <c r="DD5" i="1" s="1"/>
  <c r="AC14" i="1"/>
  <c r="BH14" i="1" s="1"/>
  <c r="CH14" i="1"/>
  <c r="CY14" i="1" s="1"/>
  <c r="CK10" i="1"/>
  <c r="DB10" i="1" s="1"/>
  <c r="CF10" i="1"/>
  <c r="CW10" i="1" s="1"/>
  <c r="CM11" i="1"/>
  <c r="DD11" i="1" s="1"/>
  <c r="CM13" i="1"/>
  <c r="DD13" i="1" s="1"/>
  <c r="CC5" i="1"/>
  <c r="CC15" i="1"/>
  <c r="CD18" i="1"/>
  <c r="CU18" i="1" s="1"/>
  <c r="CG18" i="1"/>
  <c r="CX18" i="1" s="1"/>
  <c r="CL18" i="1"/>
  <c r="DC18" i="1" s="1"/>
  <c r="CC9" i="1"/>
  <c r="CM10" i="1"/>
  <c r="DD10" i="1" s="1"/>
  <c r="BX5" i="1"/>
  <c r="CD5" i="1"/>
  <c r="CU5" i="1" s="1"/>
  <c r="BM5" i="1"/>
  <c r="BM43" i="1" s="1"/>
  <c r="CG5" i="1"/>
  <c r="CX5" i="1" s="1"/>
  <c r="BB6" i="1"/>
  <c r="AB6" i="1"/>
  <c r="AC6" i="1" s="1"/>
  <c r="BS6" i="1" s="1"/>
  <c r="BQ44" i="1" s="1"/>
  <c r="BN5" i="1"/>
  <c r="CJ6" i="1"/>
  <c r="DA6" i="1" s="1"/>
  <c r="CL8" i="1"/>
  <c r="DC8" i="1" s="1"/>
  <c r="BY8" i="1"/>
  <c r="BS46" i="1" s="1"/>
  <c r="CH6" i="1"/>
  <c r="CY6" i="1" s="1"/>
  <c r="AC5" i="1"/>
  <c r="BL5" i="1" s="1"/>
  <c r="BL43" i="1" s="1"/>
  <c r="CH7" i="1"/>
  <c r="CY7" i="1" s="1"/>
  <c r="AC7" i="1"/>
  <c r="BM7" i="1" s="1"/>
  <c r="BM45" i="1" s="1"/>
  <c r="BF7" i="1"/>
  <c r="BB26" i="1"/>
  <c r="CK14" i="1"/>
  <c r="DB14" i="1" s="1"/>
  <c r="CF14" i="1"/>
  <c r="CW14" i="1" s="1"/>
  <c r="BP19" i="1"/>
  <c r="CK9" i="1"/>
  <c r="DB9" i="1" s="1"/>
  <c r="CT13" i="1"/>
  <c r="BJ38" i="1"/>
  <c r="BV38" i="1"/>
  <c r="CJ8" i="1"/>
  <c r="DA8" i="1" s="1"/>
  <c r="BB11" i="1"/>
  <c r="AB11" i="1"/>
  <c r="AC11" i="1" s="1"/>
  <c r="CH13" i="1"/>
  <c r="CY13" i="1" s="1"/>
  <c r="BB24" i="1"/>
  <c r="AB24" i="1"/>
  <c r="AC24" i="1" s="1"/>
  <c r="BG24" i="1" s="1"/>
  <c r="CD26" i="1"/>
  <c r="CU26" i="1" s="1"/>
  <c r="BB15" i="1"/>
  <c r="BC15" i="1" s="1"/>
  <c r="CD16" i="1"/>
  <c r="CU16" i="1" s="1"/>
  <c r="BB13" i="1"/>
  <c r="AB13" i="1"/>
  <c r="AC13" i="1" s="1"/>
  <c r="BI13" i="1" s="1"/>
  <c r="BI51" i="1" s="1"/>
  <c r="CI32" i="1"/>
  <c r="CZ32" i="1" s="1"/>
  <c r="BU7" i="1"/>
  <c r="BR45" i="1" s="1"/>
  <c r="CM7" i="1"/>
  <c r="DD7" i="1" s="1"/>
  <c r="BX14" i="1"/>
  <c r="BQ14" i="1"/>
  <c r="CH17" i="1"/>
  <c r="CY17" i="1" s="1"/>
  <c r="CC25" i="1"/>
  <c r="CI25" i="1"/>
  <c r="CZ25" i="1" s="1"/>
  <c r="BB25" i="1"/>
  <c r="BC25" i="1" s="1"/>
  <c r="CI5" i="1"/>
  <c r="CZ5" i="1" s="1"/>
  <c r="CC12" i="1"/>
  <c r="CM24" i="1"/>
  <c r="DD24" i="1" s="1"/>
  <c r="BH7" i="1"/>
  <c r="BH45" i="1" s="1"/>
  <c r="CC8" i="1"/>
  <c r="CL9" i="1"/>
  <c r="DC9" i="1" s="1"/>
  <c r="BB10" i="1"/>
  <c r="AB10" i="1"/>
  <c r="AC10" i="1" s="1"/>
  <c r="CE11" i="1"/>
  <c r="CV11" i="1" s="1"/>
  <c r="CK13" i="1"/>
  <c r="DB13" i="1" s="1"/>
  <c r="CH15" i="1"/>
  <c r="CY15" i="1" s="1"/>
  <c r="CC17" i="1"/>
  <c r="CC18" i="1"/>
  <c r="CH18" i="1"/>
  <c r="CY18" i="1" s="1"/>
  <c r="CF17" i="1"/>
  <c r="CW17" i="1" s="1"/>
  <c r="CK16" i="1"/>
  <c r="DB16" i="1" s="1"/>
  <c r="CK18" i="1"/>
  <c r="DB18" i="1" s="1"/>
  <c r="CF16" i="1"/>
  <c r="CW16" i="1" s="1"/>
  <c r="CF15" i="1"/>
  <c r="CW15" i="1" s="1"/>
  <c r="CJ23" i="1"/>
  <c r="DA23" i="1" s="1"/>
  <c r="BP20" i="1"/>
  <c r="CI15" i="1"/>
  <c r="CZ15" i="1" s="1"/>
  <c r="CC11" i="1"/>
  <c r="CM14" i="1"/>
  <c r="DD14" i="1" s="1"/>
  <c r="CJ16" i="1"/>
  <c r="DA16" i="1" s="1"/>
  <c r="BJ19" i="1"/>
  <c r="BV19" i="1"/>
  <c r="CC29" i="1"/>
  <c r="CF12" i="1"/>
  <c r="CW12" i="1" s="1"/>
  <c r="CD17" i="1"/>
  <c r="CU17" i="1" s="1"/>
  <c r="CG17" i="1"/>
  <c r="CX17" i="1" s="1"/>
  <c r="CL17" i="1"/>
  <c r="DC17" i="1" s="1"/>
  <c r="BK19" i="1"/>
  <c r="BW19" i="1"/>
  <c r="CH25" i="1"/>
  <c r="CY25" i="1" s="1"/>
  <c r="BB9" i="1"/>
  <c r="AB9" i="1"/>
  <c r="AC9" i="1" s="1"/>
  <c r="BT9" i="1" s="1"/>
  <c r="CE10" i="1"/>
  <c r="CV10" i="1" s="1"/>
  <c r="CF25" i="1"/>
  <c r="CW25" i="1" s="1"/>
  <c r="CC10" i="1"/>
  <c r="BM20" i="1"/>
  <c r="CM23" i="1"/>
  <c r="DD23" i="1" s="1"/>
  <c r="CE24" i="1"/>
  <c r="CV24" i="1" s="1"/>
  <c r="CG16" i="1"/>
  <c r="CX16" i="1" s="1"/>
  <c r="BB16" i="1"/>
  <c r="CE16" i="1"/>
  <c r="CV16" i="1" s="1"/>
  <c r="CM17" i="1"/>
  <c r="DD17" i="1" s="1"/>
  <c r="BM19" i="1"/>
  <c r="AB26" i="1"/>
  <c r="AC26" i="1" s="1"/>
  <c r="BB28" i="1"/>
  <c r="BK38" i="1"/>
  <c r="BW38" i="1"/>
  <c r="AB16" i="1"/>
  <c r="AC16" i="1" s="1"/>
  <c r="BB17" i="1"/>
  <c r="AB17" i="1"/>
  <c r="AC17" i="1" s="1"/>
  <c r="AC23" i="1"/>
  <c r="BV23" i="1" s="1"/>
  <c r="CH23" i="1"/>
  <c r="CY23" i="1" s="1"/>
  <c r="CK23" i="1"/>
  <c r="DB23" i="1" s="1"/>
  <c r="CM26" i="1"/>
  <c r="DD26" i="1" s="1"/>
  <c r="AB28" i="1"/>
  <c r="AC28" i="1" s="1"/>
  <c r="CM35" i="1"/>
  <c r="DD35" i="1" s="1"/>
  <c r="CI12" i="1"/>
  <c r="CZ12" i="1" s="1"/>
  <c r="CM16" i="1"/>
  <c r="DD16" i="1" s="1"/>
  <c r="CH16" i="1"/>
  <c r="CY16" i="1" s="1"/>
  <c r="CK24" i="1"/>
  <c r="DB24" i="1" s="1"/>
  <c r="CD25" i="1"/>
  <c r="CU25" i="1" s="1"/>
  <c r="AB32" i="1"/>
  <c r="AC32" i="1" s="1"/>
  <c r="CJ35" i="1"/>
  <c r="DA35" i="1" s="1"/>
  <c r="CD28" i="1"/>
  <c r="CH34" i="1"/>
  <c r="CY34" i="1" s="1"/>
  <c r="BY12" i="1"/>
  <c r="BS50" i="1" s="1"/>
  <c r="CC24" i="1"/>
  <c r="CM25" i="1"/>
  <c r="DD25" i="1" s="1"/>
  <c r="CE26" i="1"/>
  <c r="CV26" i="1" s="1"/>
  <c r="BB27" i="1"/>
  <c r="BC27" i="1" s="1"/>
  <c r="BB32" i="1"/>
  <c r="CG15" i="1"/>
  <c r="CX15" i="1" s="1"/>
  <c r="CL15" i="1"/>
  <c r="DC15" i="1" s="1"/>
  <c r="CM18" i="1"/>
  <c r="DD18" i="1" s="1"/>
  <c r="CF24" i="1"/>
  <c r="CW24" i="1" s="1"/>
  <c r="CH26" i="1"/>
  <c r="CY26" i="1" s="1"/>
  <c r="BB18" i="1"/>
  <c r="AB18" i="1"/>
  <c r="AC18" i="1" s="1"/>
  <c r="CT34" i="1"/>
  <c r="CH24" i="1"/>
  <c r="CY24" i="1" s="1"/>
  <c r="CJ28" i="1"/>
  <c r="DA28" i="1" s="1"/>
  <c r="CD32" i="1"/>
  <c r="CJ24" i="1"/>
  <c r="DA24" i="1" s="1"/>
  <c r="CJ26" i="1"/>
  <c r="DA26" i="1" s="1"/>
  <c r="CH29" i="1"/>
  <c r="CY29" i="1" s="1"/>
  <c r="AB30" i="1"/>
  <c r="AC30" i="1" s="1"/>
  <c r="BO30" i="1" s="1"/>
  <c r="CH35" i="1"/>
  <c r="CY35" i="1" s="1"/>
  <c r="CF35" i="1"/>
  <c r="CW35" i="1" s="1"/>
  <c r="BX38" i="1"/>
  <c r="N59" i="1"/>
  <c r="CM30" i="1"/>
  <c r="DD30" i="1" s="1"/>
  <c r="CD31" i="1"/>
  <c r="CD33" i="1"/>
  <c r="CU33" i="1" s="1"/>
  <c r="CJ30" i="1"/>
  <c r="DA30" i="1" s="1"/>
  <c r="CI33" i="1"/>
  <c r="CZ33" i="1" s="1"/>
  <c r="CC36" i="1"/>
  <c r="CD36" i="1"/>
  <c r="CU36" i="1" s="1"/>
  <c r="BL38" i="1"/>
  <c r="CC26" i="1"/>
  <c r="AC27" i="1"/>
  <c r="BW27" i="1" s="1"/>
  <c r="CE27" i="1"/>
  <c r="CV27" i="1" s="1"/>
  <c r="CC27" i="1"/>
  <c r="CK30" i="1"/>
  <c r="DB30" i="1" s="1"/>
  <c r="BB33" i="1"/>
  <c r="AB33" i="1"/>
  <c r="AC33" i="1" s="1"/>
  <c r="BL37" i="1"/>
  <c r="BX37" i="1"/>
  <c r="CT28" i="1"/>
  <c r="CI29" i="1"/>
  <c r="CZ29" i="1" s="1"/>
  <c r="BB29" i="1"/>
  <c r="AB29" i="1"/>
  <c r="AC29" i="1" s="1"/>
  <c r="CM34" i="1"/>
  <c r="DD34" i="1" s="1"/>
  <c r="AB35" i="1"/>
  <c r="BB35" i="1"/>
  <c r="CL26" i="1"/>
  <c r="DC26" i="1" s="1"/>
  <c r="BY37" i="1"/>
  <c r="BY38" i="1" s="1"/>
  <c r="K59" i="1"/>
  <c r="CH27" i="1"/>
  <c r="CY27" i="1" s="1"/>
  <c r="CI28" i="1"/>
  <c r="CZ28" i="1" s="1"/>
  <c r="CK28" i="1"/>
  <c r="DB28" i="1" s="1"/>
  <c r="CM29" i="1"/>
  <c r="DD29" i="1" s="1"/>
  <c r="CC30" i="1"/>
  <c r="Q59" i="1"/>
  <c r="R58" i="1"/>
  <c r="BB31" i="1"/>
  <c r="AB31" i="1"/>
  <c r="AC31" i="1" s="1"/>
  <c r="CH33" i="1"/>
  <c r="CY33" i="1" s="1"/>
  <c r="CF28" i="1"/>
  <c r="CW28" i="1" s="1"/>
  <c r="CC35" i="1"/>
  <c r="CM36" i="1"/>
  <c r="DD36" i="1" s="1"/>
  <c r="CI31" i="1"/>
  <c r="CZ31" i="1" s="1"/>
  <c r="CF32" i="1"/>
  <c r="CW32" i="1" s="1"/>
  <c r="BB34" i="1"/>
  <c r="AB34" i="1"/>
  <c r="AC34" i="1" s="1"/>
  <c r="CF27" i="1"/>
  <c r="CW27" i="1" s="1"/>
  <c r="AC35" i="1"/>
  <c r="BP35" i="1" s="1"/>
  <c r="AC36" i="1"/>
  <c r="BM36" i="1" s="1"/>
  <c r="BM73" i="1" s="1"/>
  <c r="CF36" i="1"/>
  <c r="CW36" i="1" s="1"/>
  <c r="CH36" i="1"/>
  <c r="CY36" i="1" s="1"/>
  <c r="R58" i="2" l="1"/>
  <c r="BQ11" i="4"/>
  <c r="BO49" i="4" s="1"/>
  <c r="BT11" i="4"/>
  <c r="BX6" i="4"/>
  <c r="BH6" i="4"/>
  <c r="BH44" i="4" s="1"/>
  <c r="BS36" i="4"/>
  <c r="BQ73" i="4" s="1"/>
  <c r="BO36" i="4"/>
  <c r="BH29" i="4"/>
  <c r="BH67" i="4" s="1"/>
  <c r="BF29" i="4"/>
  <c r="BG29" i="4"/>
  <c r="BG67" i="4" s="1"/>
  <c r="BN29" i="4"/>
  <c r="BX24" i="4"/>
  <c r="BL29" i="4"/>
  <c r="BL67" i="4" s="1"/>
  <c r="BU36" i="4"/>
  <c r="BR73" i="4" s="1"/>
  <c r="BI5" i="4"/>
  <c r="BI43" i="4" s="1"/>
  <c r="BM5" i="4"/>
  <c r="BM43" i="4" s="1"/>
  <c r="BP5" i="4"/>
  <c r="BR5" i="4"/>
  <c r="BP43" i="4" s="1"/>
  <c r="BP6" i="4"/>
  <c r="BO17" i="4"/>
  <c r="BN24" i="4"/>
  <c r="BX5" i="4"/>
  <c r="BU24" i="4"/>
  <c r="BR62" i="4" s="1"/>
  <c r="BR29" i="4"/>
  <c r="BP67" i="4" s="1"/>
  <c r="BV7" i="3"/>
  <c r="AC16" i="3"/>
  <c r="BL16" i="3" s="1"/>
  <c r="BL53" i="3" s="1"/>
  <c r="BH8" i="3"/>
  <c r="BH46" i="3" s="1"/>
  <c r="BM13" i="3"/>
  <c r="BM51" i="3" s="1"/>
  <c r="BR7" i="3"/>
  <c r="BP45" i="3" s="1"/>
  <c r="BQ7" i="3"/>
  <c r="BO45" i="3" s="1"/>
  <c r="BP7" i="3"/>
  <c r="BR8" i="3"/>
  <c r="BP46" i="3" s="1"/>
  <c r="BJ13" i="3"/>
  <c r="BJ51" i="3" s="1"/>
  <c r="BX7" i="3"/>
  <c r="BT30" i="3"/>
  <c r="AC31" i="3"/>
  <c r="BF30" i="3"/>
  <c r="BV12" i="3"/>
  <c r="BO12" i="3"/>
  <c r="BN12" i="3"/>
  <c r="BN50" i="3" s="1"/>
  <c r="BF7" i="3"/>
  <c r="BG45" i="3" s="1"/>
  <c r="BX12" i="3"/>
  <c r="BT12" i="3"/>
  <c r="BT50" i="3" s="1"/>
  <c r="BT26" i="3"/>
  <c r="BT64" i="3" s="1"/>
  <c r="BU26" i="3"/>
  <c r="BR64" i="3" s="1"/>
  <c r="BJ31" i="3"/>
  <c r="BJ69" i="3" s="1"/>
  <c r="BL31" i="3"/>
  <c r="BL69" i="3" s="1"/>
  <c r="BX26" i="3"/>
  <c r="BV26" i="3"/>
  <c r="BW26" i="3"/>
  <c r="BL27" i="3"/>
  <c r="BL65" i="3" s="1"/>
  <c r="BL26" i="3"/>
  <c r="BL64" i="3" s="1"/>
  <c r="BL25" i="3"/>
  <c r="BL63" i="3" s="1"/>
  <c r="BV31" i="3"/>
  <c r="BM8" i="3"/>
  <c r="BM46" i="3" s="1"/>
  <c r="BX13" i="3"/>
  <c r="C7" i="3"/>
  <c r="D7" i="3" s="1"/>
  <c r="AE7" i="3"/>
  <c r="T45" i="3" s="1"/>
  <c r="BF23" i="2"/>
  <c r="BJ23" i="2"/>
  <c r="BJ61" i="2" s="1"/>
  <c r="BH15" i="2"/>
  <c r="BH52" i="2" s="1"/>
  <c r="BT12" i="2"/>
  <c r="BM26" i="2"/>
  <c r="BM64" i="2" s="1"/>
  <c r="BR15" i="2"/>
  <c r="BP52" i="2" s="1"/>
  <c r="BS23" i="2"/>
  <c r="BQ61" i="2" s="1"/>
  <c r="BJ26" i="2"/>
  <c r="BJ64" i="2" s="1"/>
  <c r="AE23" i="2"/>
  <c r="U43" i="2" s="1"/>
  <c r="BY15" i="2"/>
  <c r="BS52" i="2" s="1"/>
  <c r="BG8" i="2"/>
  <c r="BK12" i="2"/>
  <c r="BK50" i="2" s="1"/>
  <c r="BI15" i="2"/>
  <c r="BI52" i="2" s="1"/>
  <c r="BK8" i="2"/>
  <c r="BK46" i="2" s="1"/>
  <c r="BK23" i="2"/>
  <c r="BK61" i="2" s="1"/>
  <c r="BI27" i="2"/>
  <c r="BI65" i="2" s="1"/>
  <c r="BR27" i="2"/>
  <c r="BP65" i="2" s="1"/>
  <c r="BY23" i="2"/>
  <c r="BS61" i="2" s="1"/>
  <c r="BI23" i="2"/>
  <c r="BI61" i="2" s="1"/>
  <c r="BU32" i="2"/>
  <c r="BU25" i="2"/>
  <c r="BR63" i="2" s="1"/>
  <c r="BP23" i="2"/>
  <c r="BQ32" i="2"/>
  <c r="BG26" i="2"/>
  <c r="BG64" i="2" s="1"/>
  <c r="BQ23" i="2"/>
  <c r="BO61" i="2" s="1"/>
  <c r="BL23" i="2"/>
  <c r="BL61" i="2" s="1"/>
  <c r="BN36" i="2"/>
  <c r="BF32" i="2"/>
  <c r="BP32" i="2"/>
  <c r="BW32" i="2"/>
  <c r="BL18" i="2"/>
  <c r="BL55" i="2" s="1"/>
  <c r="BU15" i="2"/>
  <c r="BR52" i="2" s="1"/>
  <c r="BX18" i="2"/>
  <c r="BS13" i="2"/>
  <c r="BQ51" i="2" s="1"/>
  <c r="BV7" i="2"/>
  <c r="BP13" i="2"/>
  <c r="BY13" i="2"/>
  <c r="BS51" i="2" s="1"/>
  <c r="BU14" i="2"/>
  <c r="BX13" i="2"/>
  <c r="BT18" i="2"/>
  <c r="BG13" i="2"/>
  <c r="BM13" i="2"/>
  <c r="BM51" i="2" s="1"/>
  <c r="BI13" i="2"/>
  <c r="BI51" i="2" s="1"/>
  <c r="BN13" i="2"/>
  <c r="BW13" i="2"/>
  <c r="BL13" i="2"/>
  <c r="BL51" i="2" s="1"/>
  <c r="BK13" i="2"/>
  <c r="BK51" i="2" s="1"/>
  <c r="BY12" i="2"/>
  <c r="BS50" i="2" s="1"/>
  <c r="BM12" i="2"/>
  <c r="BM50" i="2" s="1"/>
  <c r="C23" i="2"/>
  <c r="D23" i="2" s="1"/>
  <c r="BF12" i="2"/>
  <c r="BO14" i="2"/>
  <c r="BY14" i="2"/>
  <c r="BM27" i="2"/>
  <c r="BM65" i="2" s="1"/>
  <c r="BR14" i="2"/>
  <c r="BS24" i="2"/>
  <c r="BQ62" i="2" s="1"/>
  <c r="BN23" i="2"/>
  <c r="BV14" i="2"/>
  <c r="BJ12" i="2"/>
  <c r="BJ50" i="2" s="1"/>
  <c r="BQ30" i="2"/>
  <c r="BO68" i="2" s="1"/>
  <c r="BX23" i="2"/>
  <c r="BQ12" i="2"/>
  <c r="BO50" i="2" s="1"/>
  <c r="BJ27" i="2"/>
  <c r="BJ65" i="2" s="1"/>
  <c r="BK7" i="2"/>
  <c r="BK45" i="2" s="1"/>
  <c r="BG23" i="2"/>
  <c r="BQ27" i="2"/>
  <c r="BO65" i="2" s="1"/>
  <c r="BS12" i="2"/>
  <c r="BQ50" i="2" s="1"/>
  <c r="BH23" i="2"/>
  <c r="BH61" i="2" s="1"/>
  <c r="BJ25" i="1"/>
  <c r="BJ63" i="1" s="1"/>
  <c r="BP25" i="1"/>
  <c r="BY14" i="1"/>
  <c r="BK5" i="1"/>
  <c r="BK43" i="1" s="1"/>
  <c r="BJ7" i="1"/>
  <c r="BJ45" i="1" s="1"/>
  <c r="BG7" i="1"/>
  <c r="BC30" i="1"/>
  <c r="BP13" i="1"/>
  <c r="BC35" i="1"/>
  <c r="BY7" i="1"/>
  <c r="BS45" i="1" s="1"/>
  <c r="BV6" i="1"/>
  <c r="BO14" i="1"/>
  <c r="BS8" i="1"/>
  <c r="BQ46" i="1" s="1"/>
  <c r="BC32" i="1"/>
  <c r="BW12" i="1"/>
  <c r="BK12" i="1"/>
  <c r="BK50" i="1" s="1"/>
  <c r="BN12" i="1"/>
  <c r="BH12" i="1"/>
  <c r="BH50" i="1" s="1"/>
  <c r="BV12" i="1"/>
  <c r="BM27" i="1"/>
  <c r="BM65" i="1" s="1"/>
  <c r="BO7" i="1"/>
  <c r="BJ12" i="1"/>
  <c r="BJ50" i="1" s="1"/>
  <c r="BC31" i="1"/>
  <c r="BN35" i="1"/>
  <c r="BH25" i="1"/>
  <c r="BH63" i="1" s="1"/>
  <c r="BX23" i="1"/>
  <c r="BV14" i="1"/>
  <c r="BI14" i="1"/>
  <c r="BJ23" i="1"/>
  <c r="BJ61" i="1" s="1"/>
  <c r="BM23" i="1"/>
  <c r="BM61" i="1" s="1"/>
  <c r="BU23" i="1"/>
  <c r="BR61" i="1" s="1"/>
  <c r="BQ23" i="1"/>
  <c r="BO61" i="1" s="1"/>
  <c r="BP23" i="1"/>
  <c r="BY13" i="1"/>
  <c r="BS51" i="1" s="1"/>
  <c r="BM13" i="1"/>
  <c r="BM51" i="1" s="1"/>
  <c r="BJ6" i="1"/>
  <c r="BJ44" i="1" s="1"/>
  <c r="BF6" i="1"/>
  <c r="CR16" i="1"/>
  <c r="BK13" i="1"/>
  <c r="BK51" i="1" s="1"/>
  <c r="BF12" i="1"/>
  <c r="BS7" i="1"/>
  <c r="BQ45" i="1" s="1"/>
  <c r="BY5" i="1"/>
  <c r="BS43" i="1" s="1"/>
  <c r="BX27" i="4"/>
  <c r="BH27" i="4"/>
  <c r="BH65" i="4" s="1"/>
  <c r="BN27" i="4"/>
  <c r="BF27" i="4"/>
  <c r="BT27" i="4"/>
  <c r="BU27" i="4"/>
  <c r="BR65" i="4" s="1"/>
  <c r="BO27" i="4"/>
  <c r="BH23" i="4"/>
  <c r="BH61" i="4" s="1"/>
  <c r="BM23" i="4"/>
  <c r="BM61" i="4" s="1"/>
  <c r="BR23" i="4"/>
  <c r="BP61" i="4" s="1"/>
  <c r="BT23" i="4"/>
  <c r="BG23" i="4"/>
  <c r="BV23" i="4"/>
  <c r="BI34" i="4"/>
  <c r="BI71" i="4" s="1"/>
  <c r="BU34" i="4"/>
  <c r="BR71" i="4" s="1"/>
  <c r="BV34" i="4"/>
  <c r="BM34" i="4"/>
  <c r="BM71" i="4" s="1"/>
  <c r="BN34" i="4"/>
  <c r="BK34" i="4"/>
  <c r="BK71" i="4" s="1"/>
  <c r="BY34" i="4"/>
  <c r="BS71" i="4" s="1"/>
  <c r="BP34" i="4"/>
  <c r="BS10" i="4"/>
  <c r="BQ48" i="4" s="1"/>
  <c r="BV10" i="4"/>
  <c r="BR10" i="4"/>
  <c r="BP48" i="4" s="1"/>
  <c r="BO10" i="4"/>
  <c r="BM10" i="4"/>
  <c r="BM48" i="4" s="1"/>
  <c r="BX10" i="4"/>
  <c r="BN10" i="4"/>
  <c r="BT10" i="4"/>
  <c r="BH10" i="4"/>
  <c r="BH48" i="4" s="1"/>
  <c r="BM15" i="4"/>
  <c r="BM52" i="4" s="1"/>
  <c r="BL15" i="4"/>
  <c r="BL52" i="4" s="1"/>
  <c r="BK15" i="4"/>
  <c r="BK52" i="4" s="1"/>
  <c r="BY33" i="4"/>
  <c r="BS70" i="4" s="1"/>
  <c r="BJ36" i="4"/>
  <c r="BJ73" i="4" s="1"/>
  <c r="BM33" i="4"/>
  <c r="BM70" i="4" s="1"/>
  <c r="BW24" i="4"/>
  <c r="BK24" i="4"/>
  <c r="BK62" i="4" s="1"/>
  <c r="BL6" i="4"/>
  <c r="BL44" i="4" s="1"/>
  <c r="BK6" i="4"/>
  <c r="BK44" i="4" s="1"/>
  <c r="BY6" i="4"/>
  <c r="BS44" i="4" s="1"/>
  <c r="BW33" i="4"/>
  <c r="BQ24" i="4"/>
  <c r="BO62" i="4" s="1"/>
  <c r="BR6" i="4"/>
  <c r="BP44" i="4" s="1"/>
  <c r="BV36" i="4"/>
  <c r="BK36" i="4"/>
  <c r="BK73" i="4" s="1"/>
  <c r="BX33" i="4"/>
  <c r="BT6" i="4"/>
  <c r="BO24" i="4"/>
  <c r="BO35" i="3"/>
  <c r="BH35" i="3"/>
  <c r="BH72" i="3" s="1"/>
  <c r="BT35" i="3"/>
  <c r="BI35" i="3"/>
  <c r="BI72" i="3" s="1"/>
  <c r="BU35" i="3"/>
  <c r="BR72" i="3" s="1"/>
  <c r="BQ29" i="3"/>
  <c r="BO67" i="3" s="1"/>
  <c r="BL29" i="3"/>
  <c r="BL67" i="3" s="1"/>
  <c r="BV29" i="3"/>
  <c r="BO29" i="3"/>
  <c r="BM29" i="3"/>
  <c r="BM67" i="3" s="1"/>
  <c r="BY29" i="3"/>
  <c r="BS67" i="3" s="1"/>
  <c r="BW29" i="3"/>
  <c r="BN33" i="3"/>
  <c r="BR33" i="3"/>
  <c r="BP70" i="3" s="1"/>
  <c r="BP33" i="3"/>
  <c r="BV33" i="3"/>
  <c r="BQ33" i="3"/>
  <c r="BO70" i="3" s="1"/>
  <c r="BH33" i="3"/>
  <c r="BH70" i="3" s="1"/>
  <c r="BN14" i="3"/>
  <c r="BI31" i="3"/>
  <c r="BI69" i="3" s="1"/>
  <c r="BH31" i="3"/>
  <c r="BH69" i="3" s="1"/>
  <c r="BH14" i="3"/>
  <c r="BP12" i="3"/>
  <c r="BY13" i="3"/>
  <c r="BS51" i="3" s="1"/>
  <c r="BH7" i="3"/>
  <c r="BH45" i="3" s="1"/>
  <c r="BY7" i="3"/>
  <c r="BS45" i="3" s="1"/>
  <c r="BP31" i="3"/>
  <c r="BO7" i="3"/>
  <c r="BN45" i="3"/>
  <c r="BM7" i="3"/>
  <c r="BM45" i="3" s="1"/>
  <c r="BF14" i="3"/>
  <c r="BU12" i="3"/>
  <c r="BR50" i="3" s="1"/>
  <c r="BK7" i="3"/>
  <c r="BK45" i="3" s="1"/>
  <c r="BK16" i="3"/>
  <c r="BK53" i="3" s="1"/>
  <c r="BH32" i="3"/>
  <c r="BR16" i="3"/>
  <c r="BP53" i="3" s="1"/>
  <c r="BM15" i="3"/>
  <c r="BM52" i="3" s="1"/>
  <c r="BJ8" i="3"/>
  <c r="BJ46" i="3" s="1"/>
  <c r="BO32" i="3"/>
  <c r="BL15" i="3"/>
  <c r="BL52" i="3" s="1"/>
  <c r="BT31" i="3"/>
  <c r="BT69" i="3" s="1"/>
  <c r="BF15" i="3"/>
  <c r="BG14" i="3"/>
  <c r="BR14" i="3"/>
  <c r="BQ26" i="3"/>
  <c r="BO64" i="3" s="1"/>
  <c r="BO14" i="3"/>
  <c r="BW31" i="3"/>
  <c r="BX31" i="3"/>
  <c r="BK31" i="3"/>
  <c r="BK69" i="3" s="1"/>
  <c r="BI13" i="3"/>
  <c r="BI51" i="3" s="1"/>
  <c r="BM12" i="3"/>
  <c r="BM50" i="3" s="1"/>
  <c r="BW16" i="3"/>
  <c r="BY27" i="3"/>
  <c r="BS65" i="3" s="1"/>
  <c r="BL7" i="3"/>
  <c r="BL45" i="3" s="1"/>
  <c r="BI12" i="3"/>
  <c r="BI50" i="3" s="1"/>
  <c r="BT7" i="3"/>
  <c r="BW14" i="3"/>
  <c r="BJ16" i="3"/>
  <c r="BJ53" i="3" s="1"/>
  <c r="AC36" i="3"/>
  <c r="AE36" i="3" s="1"/>
  <c r="BX16" i="3"/>
  <c r="BK26" i="3"/>
  <c r="BK64" i="3" s="1"/>
  <c r="BJ12" i="3"/>
  <c r="BJ50" i="3" s="1"/>
  <c r="BK14" i="3"/>
  <c r="BS15" i="3"/>
  <c r="BQ52" i="3" s="1"/>
  <c r="BN26" i="3"/>
  <c r="BG27" i="3"/>
  <c r="BY15" i="3"/>
  <c r="BS52" i="3" s="1"/>
  <c r="BW7" i="3"/>
  <c r="BX15" i="3"/>
  <c r="BF34" i="2"/>
  <c r="BX34" i="2"/>
  <c r="BM29" i="2"/>
  <c r="BM67" i="2" s="1"/>
  <c r="BS29" i="2"/>
  <c r="BQ67" i="2" s="1"/>
  <c r="BK29" i="2"/>
  <c r="BK67" i="2" s="1"/>
  <c r="BN29" i="2"/>
  <c r="BG29" i="2"/>
  <c r="BL29" i="2"/>
  <c r="BL67" i="2" s="1"/>
  <c r="BU29" i="2"/>
  <c r="BR67" i="2" s="1"/>
  <c r="BV29" i="2"/>
  <c r="BI29" i="2"/>
  <c r="BI67" i="2" s="1"/>
  <c r="BJ29" i="2"/>
  <c r="BJ67" i="2" s="1"/>
  <c r="BT29" i="2"/>
  <c r="BF29" i="2"/>
  <c r="BX29" i="2"/>
  <c r="BP29" i="2"/>
  <c r="BH6" i="2"/>
  <c r="BH44" i="2" s="1"/>
  <c r="BV33" i="2"/>
  <c r="BT26" i="2"/>
  <c r="BU11" i="2"/>
  <c r="BR49" i="2" s="1"/>
  <c r="BI5" i="2"/>
  <c r="BI43" i="2" s="1"/>
  <c r="BJ7" i="2"/>
  <c r="BJ45" i="2" s="1"/>
  <c r="BN5" i="2"/>
  <c r="BN43" i="2" s="1"/>
  <c r="BX7" i="2"/>
  <c r="BT5" i="2"/>
  <c r="BY18" i="2"/>
  <c r="BS55" i="2" s="1"/>
  <c r="BL7" i="2"/>
  <c r="BL45" i="2" s="1"/>
  <c r="BW7" i="2"/>
  <c r="BR26" i="2"/>
  <c r="BP64" i="2" s="1"/>
  <c r="BV23" i="2"/>
  <c r="BT23" i="2"/>
  <c r="BP12" i="2"/>
  <c r="BQ5" i="2"/>
  <c r="BO43" i="2" s="1"/>
  <c r="BK15" i="2"/>
  <c r="BK52" i="2" s="1"/>
  <c r="BQ15" i="2"/>
  <c r="BO52" i="2" s="1"/>
  <c r="BO30" i="2"/>
  <c r="BQ26" i="2"/>
  <c r="BO64" i="2" s="1"/>
  <c r="BR23" i="2"/>
  <c r="BP61" i="2" s="1"/>
  <c r="BO23" i="2"/>
  <c r="BT15" i="2"/>
  <c r="BM23" i="2"/>
  <c r="BM61" i="2" s="1"/>
  <c r="BU23" i="2"/>
  <c r="BR61" i="2" s="1"/>
  <c r="BU15" i="1"/>
  <c r="BR52" i="1" s="1"/>
  <c r="BJ15" i="1"/>
  <c r="BJ52" i="1" s="1"/>
  <c r="BM15" i="1"/>
  <c r="BM52" i="1" s="1"/>
  <c r="BI15" i="1"/>
  <c r="BI52" i="1" s="1"/>
  <c r="BV15" i="1"/>
  <c r="BM10" i="1"/>
  <c r="BM48" i="1" s="1"/>
  <c r="BQ10" i="1"/>
  <c r="BO48" i="1" s="1"/>
  <c r="BW10" i="1"/>
  <c r="BS10" i="1"/>
  <c r="BQ48" i="1" s="1"/>
  <c r="BL10" i="1"/>
  <c r="BL48" i="1" s="1"/>
  <c r="BK10" i="1"/>
  <c r="BK48" i="1" s="1"/>
  <c r="BX10" i="1"/>
  <c r="BM26" i="1"/>
  <c r="BM64" i="1" s="1"/>
  <c r="BF26" i="1"/>
  <c r="BJ26" i="1"/>
  <c r="BJ64" i="1" s="1"/>
  <c r="BI26" i="1"/>
  <c r="BI64" i="1" s="1"/>
  <c r="BM31" i="1"/>
  <c r="BM69" i="1" s="1"/>
  <c r="BF31" i="1"/>
  <c r="BJ31" i="1"/>
  <c r="BJ69" i="1" s="1"/>
  <c r="BN31" i="1"/>
  <c r="BX31" i="1"/>
  <c r="BL31" i="1"/>
  <c r="BL69" i="1" s="1"/>
  <c r="BU31" i="1"/>
  <c r="BR69" i="1" s="1"/>
  <c r="BK36" i="1"/>
  <c r="BK73" i="1" s="1"/>
  <c r="BK30" i="1"/>
  <c r="BK68" i="1" s="1"/>
  <c r="BQ35" i="1"/>
  <c r="BO72" i="1" s="1"/>
  <c r="BW23" i="1"/>
  <c r="BM12" i="1"/>
  <c r="BM50" i="1" s="1"/>
  <c r="BM14" i="1"/>
  <c r="BL14" i="1"/>
  <c r="BH6" i="1"/>
  <c r="BH44" i="1" s="1"/>
  <c r="BM30" i="1"/>
  <c r="BM68" i="1" s="1"/>
  <c r="BJ35" i="1"/>
  <c r="BJ72" i="1" s="1"/>
  <c r="BC34" i="1"/>
  <c r="BL30" i="1"/>
  <c r="BL68" i="1" s="1"/>
  <c r="BT25" i="1"/>
  <c r="BI23" i="1"/>
  <c r="BI61" i="1" s="1"/>
  <c r="BY25" i="1"/>
  <c r="BS63" i="1" s="1"/>
  <c r="BP12" i="1"/>
  <c r="BH36" i="1"/>
  <c r="BH73" i="1" s="1"/>
  <c r="BT30" i="1"/>
  <c r="BX35" i="1"/>
  <c r="BQ25" i="1"/>
  <c r="BO63" i="1" s="1"/>
  <c r="BC28" i="1"/>
  <c r="BC10" i="1"/>
  <c r="BV7" i="1"/>
  <c r="BC24" i="1"/>
  <c r="BW5" i="1"/>
  <c r="BT6" i="1"/>
  <c r="CL30" i="1"/>
  <c r="DC30" i="1" s="1"/>
  <c r="BK25" i="1"/>
  <c r="BK63" i="1" s="1"/>
  <c r="BT7" i="1"/>
  <c r="CS7" i="1"/>
  <c r="BL36" i="1"/>
  <c r="BL73" i="1" s="1"/>
  <c r="BO36" i="1"/>
  <c r="BW7" i="1"/>
  <c r="BF35" i="1"/>
  <c r="BK7" i="1"/>
  <c r="BK45" i="1" s="1"/>
  <c r="BN25" i="1"/>
  <c r="BC26" i="1"/>
  <c r="BR13" i="1"/>
  <c r="BP51" i="1" s="1"/>
  <c r="BW25" i="1"/>
  <c r="BR35" i="1"/>
  <c r="BP72" i="1" s="1"/>
  <c r="BL35" i="1"/>
  <c r="BL72" i="1" s="1"/>
  <c r="BN30" i="1"/>
  <c r="BN36" i="1"/>
  <c r="BY36" i="1"/>
  <c r="BS73" i="1" s="1"/>
  <c r="BS25" i="1"/>
  <c r="BQ63" i="1" s="1"/>
  <c r="BO25" i="1"/>
  <c r="BC16" i="1"/>
  <c r="BO5" i="1"/>
  <c r="BX25" i="1"/>
  <c r="BI12" i="1"/>
  <c r="BI50" i="1" s="1"/>
  <c r="BP6" i="1"/>
  <c r="AE26" i="4"/>
  <c r="U46" i="4" s="1"/>
  <c r="BN26" i="4"/>
  <c r="BJ26" i="4"/>
  <c r="BJ64" i="4" s="1"/>
  <c r="C26" i="4"/>
  <c r="BS26" i="4"/>
  <c r="BQ64" i="4" s="1"/>
  <c r="BQ26" i="4"/>
  <c r="BO64" i="4" s="1"/>
  <c r="BK26" i="4"/>
  <c r="BK64" i="4" s="1"/>
  <c r="BX26" i="4"/>
  <c r="BW26" i="4"/>
  <c r="BV26" i="4"/>
  <c r="BR26" i="4"/>
  <c r="BP64" i="4" s="1"/>
  <c r="BH26" i="4"/>
  <c r="BH64" i="4" s="1"/>
  <c r="BF26" i="4"/>
  <c r="BI26" i="4"/>
  <c r="BI64" i="4" s="1"/>
  <c r="BU26" i="4"/>
  <c r="BR64" i="4" s="1"/>
  <c r="BO26" i="4"/>
  <c r="BM26" i="4"/>
  <c r="BM64" i="4" s="1"/>
  <c r="BY26" i="4"/>
  <c r="BS64" i="4" s="1"/>
  <c r="BT26" i="4"/>
  <c r="BP26" i="4"/>
  <c r="BG26" i="4"/>
  <c r="BL26" i="4"/>
  <c r="BL64" i="4" s="1"/>
  <c r="BY8" i="4"/>
  <c r="BS46" i="4" s="1"/>
  <c r="C8" i="4"/>
  <c r="BR8" i="4"/>
  <c r="BP46" i="4" s="1"/>
  <c r="BU8" i="4"/>
  <c r="BR46" i="4" s="1"/>
  <c r="BI8" i="4"/>
  <c r="BI46" i="4" s="1"/>
  <c r="AE8" i="4"/>
  <c r="T46" i="4" s="1"/>
  <c r="BN8" i="4"/>
  <c r="BM8" i="4"/>
  <c r="BM46" i="4" s="1"/>
  <c r="BF8" i="4"/>
  <c r="BW8" i="4"/>
  <c r="BQ8" i="4"/>
  <c r="BO46" i="4" s="1"/>
  <c r="BO8" i="4"/>
  <c r="BG8" i="4"/>
  <c r="BX8" i="4"/>
  <c r="BS8" i="4"/>
  <c r="BQ46" i="4" s="1"/>
  <c r="BP8" i="4"/>
  <c r="BK8" i="4"/>
  <c r="BK46" i="4" s="1"/>
  <c r="BJ8" i="4"/>
  <c r="BJ46" i="4" s="1"/>
  <c r="BL8" i="4"/>
  <c r="BL46" i="4" s="1"/>
  <c r="BH8" i="4"/>
  <c r="BH46" i="4" s="1"/>
  <c r="BV8" i="4"/>
  <c r="BT8" i="4"/>
  <c r="BQ18" i="4"/>
  <c r="BO55" i="4" s="1"/>
  <c r="BP18" i="4"/>
  <c r="BY18" i="4"/>
  <c r="BS55" i="4" s="1"/>
  <c r="AE18" i="4"/>
  <c r="BS18" i="4"/>
  <c r="BQ55" i="4" s="1"/>
  <c r="BN18" i="4"/>
  <c r="BT18" i="4"/>
  <c r="C18" i="4"/>
  <c r="BM18" i="4"/>
  <c r="BM55" i="4" s="1"/>
  <c r="BJ18" i="4"/>
  <c r="BJ55" i="4" s="1"/>
  <c r="BG18" i="4"/>
  <c r="BW18" i="4"/>
  <c r="BR18" i="4"/>
  <c r="BP55" i="4" s="1"/>
  <c r="BL18" i="4"/>
  <c r="BL55" i="4" s="1"/>
  <c r="BX18" i="4"/>
  <c r="BI18" i="4"/>
  <c r="BI55" i="4" s="1"/>
  <c r="BH18" i="4"/>
  <c r="BH55" i="4" s="1"/>
  <c r="BO18" i="4"/>
  <c r="BF18" i="4"/>
  <c r="BV18" i="4"/>
  <c r="BK18" i="4"/>
  <c r="BK55" i="4" s="1"/>
  <c r="BU18" i="4"/>
  <c r="BR55" i="4" s="1"/>
  <c r="AE13" i="4"/>
  <c r="T51" i="4" s="1"/>
  <c r="BK13" i="4"/>
  <c r="BK51" i="4" s="1"/>
  <c r="BO13" i="4"/>
  <c r="BJ13" i="4"/>
  <c r="BJ51" i="4" s="1"/>
  <c r="BI13" i="4"/>
  <c r="BI51" i="4" s="1"/>
  <c r="BH13" i="4"/>
  <c r="BH51" i="4" s="1"/>
  <c r="BG13" i="4"/>
  <c r="BW13" i="4"/>
  <c r="BS13" i="4"/>
  <c r="BQ51" i="4" s="1"/>
  <c r="BF13" i="4"/>
  <c r="BN13" i="4"/>
  <c r="BU13" i="4"/>
  <c r="BR51" i="4" s="1"/>
  <c r="BX13" i="4"/>
  <c r="BQ13" i="4"/>
  <c r="BO51" i="4" s="1"/>
  <c r="BT13" i="4"/>
  <c r="BR13" i="4"/>
  <c r="BP51" i="4" s="1"/>
  <c r="BM13" i="4"/>
  <c r="BM51" i="4" s="1"/>
  <c r="BY13" i="4"/>
  <c r="BS51" i="4" s="1"/>
  <c r="BL13" i="4"/>
  <c r="BL51" i="4" s="1"/>
  <c r="C13" i="4"/>
  <c r="BP13" i="4"/>
  <c r="BV13" i="4"/>
  <c r="BY35" i="4"/>
  <c r="BS72" i="4" s="1"/>
  <c r="BS35" i="4"/>
  <c r="BQ72" i="4" s="1"/>
  <c r="BM35" i="4"/>
  <c r="BM72" i="4" s="1"/>
  <c r="BI35" i="4"/>
  <c r="BI72" i="4" s="1"/>
  <c r="AE35" i="4"/>
  <c r="BG35" i="4"/>
  <c r="BV35" i="4"/>
  <c r="BO35" i="4"/>
  <c r="BU35" i="4"/>
  <c r="BR72" i="4" s="1"/>
  <c r="BR35" i="4"/>
  <c r="BP72" i="4" s="1"/>
  <c r="BP35" i="4"/>
  <c r="C35" i="4"/>
  <c r="BK35" i="4"/>
  <c r="BK72" i="4" s="1"/>
  <c r="BW35" i="4"/>
  <c r="BL35" i="4"/>
  <c r="BL72" i="4" s="1"/>
  <c r="BX35" i="4"/>
  <c r="BJ35" i="4"/>
  <c r="BJ72" i="4" s="1"/>
  <c r="BH35" i="4"/>
  <c r="BH72" i="4" s="1"/>
  <c r="BT35" i="4"/>
  <c r="BQ35" i="4"/>
  <c r="BO72" i="4" s="1"/>
  <c r="BF35" i="4"/>
  <c r="BN35" i="4"/>
  <c r="AE25" i="4"/>
  <c r="U45" i="4" s="1"/>
  <c r="BT25" i="4"/>
  <c r="BO25" i="4"/>
  <c r="BN25" i="4"/>
  <c r="BI25" i="4"/>
  <c r="BI63" i="4" s="1"/>
  <c r="BH25" i="4"/>
  <c r="BH63" i="4" s="1"/>
  <c r="BM25" i="4"/>
  <c r="BM63" i="4" s="1"/>
  <c r="BX25" i="4"/>
  <c r="C25" i="4"/>
  <c r="BQ25" i="4"/>
  <c r="BO63" i="4" s="1"/>
  <c r="BS25" i="4"/>
  <c r="BQ63" i="4" s="1"/>
  <c r="BL25" i="4"/>
  <c r="BL63" i="4" s="1"/>
  <c r="BR25" i="4"/>
  <c r="BP63" i="4" s="1"/>
  <c r="BF25" i="4"/>
  <c r="BP25" i="4"/>
  <c r="BG25" i="4"/>
  <c r="BJ25" i="4"/>
  <c r="BJ63" i="4" s="1"/>
  <c r="BV25" i="4"/>
  <c r="BU25" i="4"/>
  <c r="BR63" i="4" s="1"/>
  <c r="BK25" i="4"/>
  <c r="BK63" i="4" s="1"/>
  <c r="BW25" i="4"/>
  <c r="BY25" i="4"/>
  <c r="BS63" i="4" s="1"/>
  <c r="C12" i="4"/>
  <c r="BT12" i="4"/>
  <c r="BI12" i="4"/>
  <c r="BI50" i="4" s="1"/>
  <c r="BS12" i="4"/>
  <c r="BQ50" i="4" s="1"/>
  <c r="BP12" i="4"/>
  <c r="BO12" i="4"/>
  <c r="BH12" i="4"/>
  <c r="BH50" i="4" s="1"/>
  <c r="AE12" i="4"/>
  <c r="T50" i="4" s="1"/>
  <c r="BG12" i="4"/>
  <c r="BR12" i="4"/>
  <c r="BP50" i="4" s="1"/>
  <c r="BK12" i="4"/>
  <c r="BK50" i="4" s="1"/>
  <c r="BY12" i="4"/>
  <c r="BS50" i="4" s="1"/>
  <c r="BQ12" i="4"/>
  <c r="BO50" i="4" s="1"/>
  <c r="BF12" i="4"/>
  <c r="BL12" i="4"/>
  <c r="BL50" i="4" s="1"/>
  <c r="BJ12" i="4"/>
  <c r="BJ50" i="4" s="1"/>
  <c r="BX12" i="4"/>
  <c r="BN12" i="4"/>
  <c r="BU12" i="4"/>
  <c r="BR50" i="4" s="1"/>
  <c r="BV12" i="4"/>
  <c r="BM12" i="4"/>
  <c r="BM50" i="4" s="1"/>
  <c r="BW12" i="4"/>
  <c r="C9" i="4"/>
  <c r="BF9" i="4"/>
  <c r="BN9" i="4"/>
  <c r="BY9" i="4"/>
  <c r="BS47" i="4" s="1"/>
  <c r="BV9" i="4"/>
  <c r="BR9" i="4"/>
  <c r="BP47" i="4" s="1"/>
  <c r="BP9" i="4"/>
  <c r="BO9" i="4"/>
  <c r="AE9" i="4"/>
  <c r="T47" i="4" s="1"/>
  <c r="BH9" i="4"/>
  <c r="BH47" i="4" s="1"/>
  <c r="BU9" i="4"/>
  <c r="BR47" i="4" s="1"/>
  <c r="BT9" i="4"/>
  <c r="BS9" i="4"/>
  <c r="BQ47" i="4" s="1"/>
  <c r="BJ9" i="4"/>
  <c r="BJ47" i="4" s="1"/>
  <c r="BI9" i="4"/>
  <c r="BI47" i="4" s="1"/>
  <c r="BQ9" i="4"/>
  <c r="BO47" i="4" s="1"/>
  <c r="BL9" i="4"/>
  <c r="BL47" i="4" s="1"/>
  <c r="BW9" i="4"/>
  <c r="BM9" i="4"/>
  <c r="BM47" i="4" s="1"/>
  <c r="BX9" i="4"/>
  <c r="BG9" i="4"/>
  <c r="BK9" i="4"/>
  <c r="BK47" i="4" s="1"/>
  <c r="BJ30" i="4"/>
  <c r="BJ68" i="4" s="1"/>
  <c r="C30" i="4"/>
  <c r="BV30" i="4"/>
  <c r="BP30" i="4"/>
  <c r="AE30" i="4"/>
  <c r="U50" i="4" s="1"/>
  <c r="BU30" i="4"/>
  <c r="BR68" i="4" s="1"/>
  <c r="BI30" i="4"/>
  <c r="BI68" i="4" s="1"/>
  <c r="BT30" i="4"/>
  <c r="BW30" i="4"/>
  <c r="BG30" i="4"/>
  <c r="BS30" i="4"/>
  <c r="BQ68" i="4" s="1"/>
  <c r="BO30" i="4"/>
  <c r="BY30" i="4"/>
  <c r="BS68" i="4" s="1"/>
  <c r="BF30" i="4"/>
  <c r="BL30" i="4"/>
  <c r="BL68" i="4" s="1"/>
  <c r="BR30" i="4"/>
  <c r="BP68" i="4" s="1"/>
  <c r="BX30" i="4"/>
  <c r="BQ30" i="4"/>
  <c r="BO68" i="4" s="1"/>
  <c r="BK30" i="4"/>
  <c r="BK68" i="4" s="1"/>
  <c r="BM30" i="4"/>
  <c r="BM68" i="4" s="1"/>
  <c r="BN30" i="4"/>
  <c r="BH30" i="4"/>
  <c r="BH68" i="4" s="1"/>
  <c r="AE7" i="4"/>
  <c r="T45" i="4" s="1"/>
  <c r="BF7" i="4"/>
  <c r="BR7" i="4"/>
  <c r="BP45" i="4" s="1"/>
  <c r="BJ7" i="4"/>
  <c r="BJ45" i="4" s="1"/>
  <c r="C7" i="4"/>
  <c r="BW7" i="4"/>
  <c r="BQ7" i="4"/>
  <c r="BO45" i="4" s="1"/>
  <c r="BP7" i="4"/>
  <c r="BL7" i="4"/>
  <c r="BL45" i="4" s="1"/>
  <c r="BK7" i="4"/>
  <c r="BK45" i="4" s="1"/>
  <c r="BO7" i="4"/>
  <c r="BV7" i="4"/>
  <c r="BY7" i="4"/>
  <c r="BS45" i="4" s="1"/>
  <c r="BH7" i="4"/>
  <c r="BH45" i="4" s="1"/>
  <c r="BN7" i="4"/>
  <c r="BX7" i="4"/>
  <c r="BG7" i="4"/>
  <c r="BI7" i="4"/>
  <c r="BI45" i="4" s="1"/>
  <c r="BU7" i="4"/>
  <c r="BR45" i="4" s="1"/>
  <c r="BS7" i="4"/>
  <c r="BQ45" i="4" s="1"/>
  <c r="BT7" i="4"/>
  <c r="BM7" i="4"/>
  <c r="BM45" i="4" s="1"/>
  <c r="BV32" i="4"/>
  <c r="BH32" i="4"/>
  <c r="BT32" i="4"/>
  <c r="BS32" i="4"/>
  <c r="BN32" i="4"/>
  <c r="BM32" i="4"/>
  <c r="C32" i="4"/>
  <c r="BJ32" i="4"/>
  <c r="AE32" i="4"/>
  <c r="U52" i="4" s="1"/>
  <c r="BG32" i="4"/>
  <c r="BY32" i="4"/>
  <c r="BP32" i="4"/>
  <c r="BR32" i="4"/>
  <c r="BK32" i="4"/>
  <c r="BL32" i="4"/>
  <c r="BW32" i="4"/>
  <c r="BI32" i="4"/>
  <c r="BX32" i="4"/>
  <c r="BU32" i="4"/>
  <c r="BF32" i="4"/>
  <c r="BO32" i="4"/>
  <c r="BQ32" i="4"/>
  <c r="BN28" i="4"/>
  <c r="BL28" i="4"/>
  <c r="BL66" i="4" s="1"/>
  <c r="BU28" i="4"/>
  <c r="BR66" i="4" s="1"/>
  <c r="BT28" i="4"/>
  <c r="BX28" i="4"/>
  <c r="BS28" i="4"/>
  <c r="BQ66" i="4" s="1"/>
  <c r="BH28" i="4"/>
  <c r="BH66" i="4" s="1"/>
  <c r="BG28" i="4"/>
  <c r="AE28" i="4"/>
  <c r="U48" i="4" s="1"/>
  <c r="C28" i="4"/>
  <c r="BF28" i="4"/>
  <c r="BP28" i="4"/>
  <c r="BQ28" i="4"/>
  <c r="BO66" i="4" s="1"/>
  <c r="BM28" i="4"/>
  <c r="BM66" i="4" s="1"/>
  <c r="BJ28" i="4"/>
  <c r="BJ66" i="4" s="1"/>
  <c r="BY28" i="4"/>
  <c r="BS66" i="4" s="1"/>
  <c r="BV28" i="4"/>
  <c r="BR28" i="4"/>
  <c r="BP66" i="4" s="1"/>
  <c r="BI28" i="4"/>
  <c r="BI66" i="4" s="1"/>
  <c r="BK28" i="4"/>
  <c r="BK66" i="4" s="1"/>
  <c r="BO28" i="4"/>
  <c r="BW28" i="4"/>
  <c r="BF31" i="4"/>
  <c r="BM14" i="4"/>
  <c r="BG11" i="4"/>
  <c r="BV11" i="4"/>
  <c r="C11" i="4"/>
  <c r="BS11" i="4"/>
  <c r="BQ49" i="4" s="1"/>
  <c r="BI11" i="4"/>
  <c r="BI49" i="4" s="1"/>
  <c r="BF11" i="4"/>
  <c r="AE11" i="4"/>
  <c r="T49" i="4" s="1"/>
  <c r="BR11" i="4"/>
  <c r="BP49" i="4" s="1"/>
  <c r="BP11" i="4"/>
  <c r="BO11" i="4"/>
  <c r="BW11" i="4"/>
  <c r="BN11" i="4"/>
  <c r="BK11" i="4"/>
  <c r="BK49" i="4" s="1"/>
  <c r="BJ11" i="4"/>
  <c r="BJ49" i="4" s="1"/>
  <c r="C33" i="4"/>
  <c r="BI33" i="4"/>
  <c r="BI70" i="4" s="1"/>
  <c r="BO33" i="4"/>
  <c r="BU33" i="4"/>
  <c r="BR70" i="4" s="1"/>
  <c r="BH33" i="4"/>
  <c r="BH70" i="4" s="1"/>
  <c r="BT33" i="4"/>
  <c r="BS33" i="4"/>
  <c r="BQ70" i="4" s="1"/>
  <c r="BF33" i="4"/>
  <c r="BG33" i="4"/>
  <c r="AE33" i="4"/>
  <c r="U53" i="4" s="1"/>
  <c r="BJ15" i="4"/>
  <c r="BJ52" i="4" s="1"/>
  <c r="BI15" i="4"/>
  <c r="BI52" i="4" s="1"/>
  <c r="BU15" i="4"/>
  <c r="BR52" i="4" s="1"/>
  <c r="C15" i="4"/>
  <c r="BT15" i="4"/>
  <c r="BV15" i="4"/>
  <c r="BO15" i="4"/>
  <c r="BH15" i="4"/>
  <c r="BH52" i="4" s="1"/>
  <c r="BS15" i="4"/>
  <c r="BQ52" i="4" s="1"/>
  <c r="BP15" i="4"/>
  <c r="BG15" i="4"/>
  <c r="AE15" i="4"/>
  <c r="T53" i="4" s="1"/>
  <c r="BF15" i="4"/>
  <c r="BO16" i="4"/>
  <c r="BX16" i="4"/>
  <c r="BW16" i="4"/>
  <c r="AE16" i="4"/>
  <c r="BY16" i="4"/>
  <c r="BS53" i="4" s="1"/>
  <c r="BU16" i="4"/>
  <c r="BR53" i="4" s="1"/>
  <c r="BL16" i="4"/>
  <c r="BL53" i="4" s="1"/>
  <c r="BK16" i="4"/>
  <c r="BK53" i="4" s="1"/>
  <c r="BI16" i="4"/>
  <c r="BI53" i="4" s="1"/>
  <c r="BT14" i="4"/>
  <c r="BV33" i="4"/>
  <c r="BP16" i="4"/>
  <c r="BW29" i="4"/>
  <c r="BU29" i="4"/>
  <c r="BR67" i="4" s="1"/>
  <c r="AE29" i="4"/>
  <c r="U49" i="4" s="1"/>
  <c r="BK29" i="4"/>
  <c r="BK67" i="4" s="1"/>
  <c r="BI29" i="4"/>
  <c r="BI67" i="4" s="1"/>
  <c r="BP29" i="4"/>
  <c r="BO29" i="4"/>
  <c r="BV29" i="4"/>
  <c r="BK33" i="4"/>
  <c r="BK70" i="4" s="1"/>
  <c r="AE17" i="4"/>
  <c r="BT17" i="4"/>
  <c r="C17" i="4"/>
  <c r="BN17" i="4"/>
  <c r="BP17" i="4"/>
  <c r="BY17" i="4"/>
  <c r="BS54" i="4" s="1"/>
  <c r="BS17" i="4"/>
  <c r="BQ54" i="4" s="1"/>
  <c r="BR17" i="4"/>
  <c r="BP54" i="4" s="1"/>
  <c r="BQ17" i="4"/>
  <c r="BO54" i="4" s="1"/>
  <c r="BH17" i="4"/>
  <c r="BH54" i="4" s="1"/>
  <c r="BW17" i="4"/>
  <c r="BL31" i="4"/>
  <c r="BL69" i="4" s="1"/>
  <c r="BH14" i="4"/>
  <c r="BR15" i="4"/>
  <c r="BP52" i="4" s="1"/>
  <c r="BN14" i="4"/>
  <c r="BJ33" i="4"/>
  <c r="BJ70" i="4" s="1"/>
  <c r="BX14" i="4"/>
  <c r="C16" i="4"/>
  <c r="BN15" i="4"/>
  <c r="AE23" i="4"/>
  <c r="U43" i="4" s="1"/>
  <c r="BQ23" i="4"/>
  <c r="BO61" i="4" s="1"/>
  <c r="BW23" i="4"/>
  <c r="BP23" i="4"/>
  <c r="BO23" i="4"/>
  <c r="BY23" i="4"/>
  <c r="BS61" i="4" s="1"/>
  <c r="BX23" i="4"/>
  <c r="C23" i="4"/>
  <c r="BN23" i="4"/>
  <c r="BI23" i="4"/>
  <c r="BI61" i="4" s="1"/>
  <c r="BL23" i="4"/>
  <c r="BL61" i="4" s="1"/>
  <c r="BF36" i="4"/>
  <c r="AE36" i="4"/>
  <c r="C36" i="4"/>
  <c r="BR36" i="4"/>
  <c r="BP73" i="4" s="1"/>
  <c r="BP36" i="4"/>
  <c r="BL36" i="4"/>
  <c r="BL73" i="4" s="1"/>
  <c r="BX36" i="4"/>
  <c r="BW36" i="4"/>
  <c r="BQ36" i="4"/>
  <c r="BO73" i="4" s="1"/>
  <c r="BQ6" i="4"/>
  <c r="BO44" i="4" s="1"/>
  <c r="BY36" i="4"/>
  <c r="BS73" i="4" s="1"/>
  <c r="BK17" i="4"/>
  <c r="BK54" i="4" s="1"/>
  <c r="AE34" i="4"/>
  <c r="BQ34" i="4"/>
  <c r="BO71" i="4" s="1"/>
  <c r="BJ34" i="4"/>
  <c r="BJ71" i="4" s="1"/>
  <c r="C34" i="4"/>
  <c r="BH34" i="4"/>
  <c r="BH71" i="4" s="1"/>
  <c r="BF34" i="4"/>
  <c r="BW34" i="4"/>
  <c r="BT34" i="4"/>
  <c r="BR34" i="4"/>
  <c r="BP71" i="4" s="1"/>
  <c r="BY11" i="4"/>
  <c r="BS49" i="4" s="1"/>
  <c r="BI36" i="4"/>
  <c r="BI73" i="4" s="1"/>
  <c r="BL14" i="4"/>
  <c r="BF23" i="4"/>
  <c r="BF17" i="4"/>
  <c r="BK14" i="4"/>
  <c r="BM16" i="4"/>
  <c r="BM53" i="4" s="1"/>
  <c r="BG36" i="4"/>
  <c r="BR33" i="4"/>
  <c r="BP70" i="4" s="1"/>
  <c r="BT16" i="4"/>
  <c r="BS16" i="4"/>
  <c r="BQ53" i="4" s="1"/>
  <c r="BS27" i="4"/>
  <c r="BQ65" i="4" s="1"/>
  <c r="C27" i="4"/>
  <c r="BY27" i="4"/>
  <c r="BS65" i="4" s="1"/>
  <c r="BG27" i="4"/>
  <c r="AE27" i="4"/>
  <c r="U47" i="4" s="1"/>
  <c r="BP27" i="4"/>
  <c r="BM27" i="4"/>
  <c r="BM65" i="4" s="1"/>
  <c r="BW27" i="4"/>
  <c r="BK27" i="4"/>
  <c r="BK65" i="4" s="1"/>
  <c r="BQ27" i="4"/>
  <c r="BO65" i="4" s="1"/>
  <c r="BR27" i="4"/>
  <c r="BP65" i="4" s="1"/>
  <c r="BQ16" i="4"/>
  <c r="BO53" i="4" s="1"/>
  <c r="BW14" i="4"/>
  <c r="BM36" i="4"/>
  <c r="BM73" i="4" s="1"/>
  <c r="BK23" i="4"/>
  <c r="BK61" i="4" s="1"/>
  <c r="BU17" i="4"/>
  <c r="BR54" i="4" s="1"/>
  <c r="BG34" i="4"/>
  <c r="BS34" i="4"/>
  <c r="BQ71" i="4" s="1"/>
  <c r="BS31" i="4"/>
  <c r="BQ69" i="4" s="1"/>
  <c r="BG17" i="4"/>
  <c r="BV16" i="4"/>
  <c r="BO31" i="4"/>
  <c r="BI6" i="4"/>
  <c r="BI44" i="4" s="1"/>
  <c r="BX15" i="4"/>
  <c r="BQ33" i="4"/>
  <c r="BO70" i="4" s="1"/>
  <c r="AE10" i="4"/>
  <c r="T48" i="4" s="1"/>
  <c r="C10" i="4"/>
  <c r="BQ10" i="4"/>
  <c r="BO48" i="4" s="1"/>
  <c r="BP10" i="4"/>
  <c r="BU10" i="4"/>
  <c r="BR48" i="4" s="1"/>
  <c r="BK10" i="4"/>
  <c r="BK48" i="4" s="1"/>
  <c r="BJ10" i="4"/>
  <c r="BJ48" i="4" s="1"/>
  <c r="BY10" i="4"/>
  <c r="BS48" i="4" s="1"/>
  <c r="BI27" i="4"/>
  <c r="BI65" i="4" s="1"/>
  <c r="BV31" i="4"/>
  <c r="BH16" i="4"/>
  <c r="BH53" i="4" s="1"/>
  <c r="BY29" i="4"/>
  <c r="BS67" i="4" s="1"/>
  <c r="BU14" i="4"/>
  <c r="BW10" i="4"/>
  <c r="BQ15" i="4"/>
  <c r="BO52" i="4" s="1"/>
  <c r="BI17" i="4"/>
  <c r="BI54" i="4" s="1"/>
  <c r="BL10" i="4"/>
  <c r="BL48" i="4" s="1"/>
  <c r="BG31" i="4"/>
  <c r="BG14" i="4"/>
  <c r="BJ16" i="4"/>
  <c r="BJ53" i="4" s="1"/>
  <c r="BX31" i="4"/>
  <c r="BN5" i="4"/>
  <c r="BX17" i="4"/>
  <c r="BR31" i="4"/>
  <c r="BP69" i="4" s="1"/>
  <c r="BG10" i="4"/>
  <c r="BF10" i="4"/>
  <c r="BI10" i="4"/>
  <c r="BI48" i="4" s="1"/>
  <c r="BW15" i="4"/>
  <c r="BM29" i="4"/>
  <c r="BM67" i="4" s="1"/>
  <c r="BS29" i="4"/>
  <c r="BQ67" i="4" s="1"/>
  <c r="AE31" i="4"/>
  <c r="U51" i="4" s="1"/>
  <c r="C31" i="4"/>
  <c r="BW31" i="4"/>
  <c r="BQ31" i="4"/>
  <c r="BO69" i="4" s="1"/>
  <c r="BP31" i="4"/>
  <c r="BU31" i="4"/>
  <c r="BR69" i="4" s="1"/>
  <c r="BT31" i="4"/>
  <c r="BK31" i="4"/>
  <c r="BK69" i="4" s="1"/>
  <c r="BI31" i="4"/>
  <c r="BI69" i="4" s="1"/>
  <c r="BH31" i="4"/>
  <c r="BH69" i="4" s="1"/>
  <c r="BV14" i="4"/>
  <c r="BS14" i="4"/>
  <c r="BY14" i="4"/>
  <c r="BQ14" i="4"/>
  <c r="BJ14" i="4"/>
  <c r="C14" i="4"/>
  <c r="AE14" i="4"/>
  <c r="T52" i="4" s="1"/>
  <c r="BO14" i="4"/>
  <c r="BP14" i="4"/>
  <c r="BF14" i="4"/>
  <c r="BY31" i="4"/>
  <c r="BS69" i="4" s="1"/>
  <c r="BN31" i="4"/>
  <c r="BM11" i="4"/>
  <c r="BM49" i="4" s="1"/>
  <c r="BJ6" i="4"/>
  <c r="BJ44" i="4" s="1"/>
  <c r="BS6" i="4"/>
  <c r="BQ44" i="4" s="1"/>
  <c r="BG6" i="4"/>
  <c r="AE6" i="4"/>
  <c r="T44" i="4" s="1"/>
  <c r="C6" i="4"/>
  <c r="BV6" i="4"/>
  <c r="BU6" i="4"/>
  <c r="BR44" i="4" s="1"/>
  <c r="BO6" i="4"/>
  <c r="BN6" i="4"/>
  <c r="BM6" i="4"/>
  <c r="BM44" i="4" s="1"/>
  <c r="BH11" i="4"/>
  <c r="BH49" i="4" s="1"/>
  <c r="BX11" i="4"/>
  <c r="C29" i="4"/>
  <c r="R59" i="4"/>
  <c r="S55" i="4"/>
  <c r="S57" i="4" s="1"/>
  <c r="BU11" i="4"/>
  <c r="BR49" i="4" s="1"/>
  <c r="BJ29" i="4"/>
  <c r="BJ67" i="4" s="1"/>
  <c r="BF6" i="4"/>
  <c r="BW6" i="4"/>
  <c r="BL34" i="4"/>
  <c r="BL71" i="4" s="1"/>
  <c r="BM31" i="4"/>
  <c r="BM69" i="4" s="1"/>
  <c r="BJ23" i="4"/>
  <c r="BJ61" i="4" s="1"/>
  <c r="BN16" i="4"/>
  <c r="BY24" i="4"/>
  <c r="BS62" i="4" s="1"/>
  <c r="BM24" i="4"/>
  <c r="BM62" i="4" s="1"/>
  <c r="C24" i="4"/>
  <c r="BV24" i="4"/>
  <c r="BT24" i="4"/>
  <c r="BG24" i="4"/>
  <c r="BR24" i="4"/>
  <c r="BP62" i="4" s="1"/>
  <c r="BP24" i="4"/>
  <c r="AE24" i="4"/>
  <c r="U44" i="4" s="1"/>
  <c r="BF24" i="4"/>
  <c r="BS24" i="4"/>
  <c r="BQ62" i="4" s="1"/>
  <c r="BV17" i="4"/>
  <c r="BT36" i="4"/>
  <c r="BK5" i="4"/>
  <c r="BK43" i="4" s="1"/>
  <c r="C5" i="4"/>
  <c r="BH5" i="4"/>
  <c r="BH43" i="4" s="1"/>
  <c r="BG5" i="4"/>
  <c r="AE5" i="4"/>
  <c r="T43" i="4" s="1"/>
  <c r="BY5" i="4"/>
  <c r="BS43" i="4" s="1"/>
  <c r="BW5" i="4"/>
  <c r="BO5" i="4"/>
  <c r="BL5" i="4"/>
  <c r="BL43" i="4" s="1"/>
  <c r="BJ5" i="4"/>
  <c r="BJ43" i="4" s="1"/>
  <c r="BV27" i="4"/>
  <c r="BL11" i="4"/>
  <c r="BL49" i="4" s="1"/>
  <c r="BP33" i="4"/>
  <c r="BR16" i="4"/>
  <c r="BP53" i="4" s="1"/>
  <c r="BL24" i="4"/>
  <c r="BL62" i="4" s="1"/>
  <c r="BL27" i="4"/>
  <c r="BL65" i="4" s="1"/>
  <c r="BJ24" i="4"/>
  <c r="BJ62" i="4" s="1"/>
  <c r="BI24" i="4"/>
  <c r="BI62" i="4" s="1"/>
  <c r="BN33" i="4"/>
  <c r="BQ29" i="4"/>
  <c r="BO67" i="4" s="1"/>
  <c r="BU23" i="4"/>
  <c r="BR61" i="4" s="1"/>
  <c r="BO34" i="4"/>
  <c r="BY15" i="4"/>
  <c r="BS52" i="4" s="1"/>
  <c r="BS23" i="4"/>
  <c r="BQ61" i="4" s="1"/>
  <c r="BX34" i="4"/>
  <c r="BT5" i="4"/>
  <c r="BG16" i="4"/>
  <c r="BH36" i="4"/>
  <c r="BH73" i="4" s="1"/>
  <c r="BF5" i="4"/>
  <c r="BQ5" i="4"/>
  <c r="BO43" i="4" s="1"/>
  <c r="BJ27" i="4"/>
  <c r="BJ65" i="4" s="1"/>
  <c r="BF16" i="4"/>
  <c r="BN36" i="4"/>
  <c r="BT29" i="4"/>
  <c r="BL17" i="4"/>
  <c r="BL54" i="4" s="1"/>
  <c r="BJ17" i="4"/>
  <c r="BJ54" i="4" s="1"/>
  <c r="C28" i="3"/>
  <c r="BM28" i="3"/>
  <c r="BM66" i="3" s="1"/>
  <c r="AE28" i="3"/>
  <c r="U48" i="3" s="1"/>
  <c r="BJ28" i="3"/>
  <c r="BJ66" i="3" s="1"/>
  <c r="BH28" i="3"/>
  <c r="BH66" i="3" s="1"/>
  <c r="BF28" i="3"/>
  <c r="BY28" i="3"/>
  <c r="BS66" i="3" s="1"/>
  <c r="BW28" i="3"/>
  <c r="BV28" i="3"/>
  <c r="BP28" i="3"/>
  <c r="BG28" i="3"/>
  <c r="BN28" i="3"/>
  <c r="BS28" i="3"/>
  <c r="BQ66" i="3" s="1"/>
  <c r="BX28" i="3"/>
  <c r="BL28" i="3"/>
  <c r="BL66" i="3" s="1"/>
  <c r="BR28" i="3"/>
  <c r="BP66" i="3" s="1"/>
  <c r="BO28" i="3"/>
  <c r="BI28" i="3"/>
  <c r="BI66" i="3" s="1"/>
  <c r="BU28" i="3"/>
  <c r="BR66" i="3" s="1"/>
  <c r="BQ28" i="3"/>
  <c r="BO66" i="3" s="1"/>
  <c r="BT28" i="3"/>
  <c r="BK28" i="3"/>
  <c r="BK66" i="3" s="1"/>
  <c r="BM34" i="3"/>
  <c r="BM71" i="3" s="1"/>
  <c r="BL34" i="3"/>
  <c r="BL71" i="3" s="1"/>
  <c r="BK34" i="3"/>
  <c r="BK71" i="3" s="1"/>
  <c r="AE34" i="3"/>
  <c r="BJ34" i="3"/>
  <c r="BJ71" i="3" s="1"/>
  <c r="BP34" i="3"/>
  <c r="BI34" i="3"/>
  <c r="BI71" i="3" s="1"/>
  <c r="BY34" i="3"/>
  <c r="BS71" i="3" s="1"/>
  <c r="BN34" i="3"/>
  <c r="BV34" i="3"/>
  <c r="BU34" i="3"/>
  <c r="BR71" i="3" s="1"/>
  <c r="BW34" i="3"/>
  <c r="BX34" i="3"/>
  <c r="BS34" i="3"/>
  <c r="BQ71" i="3" s="1"/>
  <c r="BQ34" i="3"/>
  <c r="BO71" i="3" s="1"/>
  <c r="BF34" i="3"/>
  <c r="BO34" i="3"/>
  <c r="BR34" i="3"/>
  <c r="BP71" i="3" s="1"/>
  <c r="BH34" i="3"/>
  <c r="BH71" i="3" s="1"/>
  <c r="BT34" i="3"/>
  <c r="BG34" i="3"/>
  <c r="BU10" i="3"/>
  <c r="BR48" i="3" s="1"/>
  <c r="AE10" i="3"/>
  <c r="T48" i="3" s="1"/>
  <c r="C10" i="3"/>
  <c r="BS10" i="3"/>
  <c r="BQ48" i="3" s="1"/>
  <c r="BP10" i="3"/>
  <c r="BO10" i="3"/>
  <c r="BM10" i="3"/>
  <c r="BM48" i="3" s="1"/>
  <c r="BN10" i="3"/>
  <c r="BG10" i="3"/>
  <c r="BI10" i="3"/>
  <c r="BI48" i="3" s="1"/>
  <c r="BT10" i="3"/>
  <c r="BL10" i="3"/>
  <c r="BL48" i="3" s="1"/>
  <c r="BJ10" i="3"/>
  <c r="BJ48" i="3" s="1"/>
  <c r="BF10" i="3"/>
  <c r="BH10" i="3"/>
  <c r="BH48" i="3" s="1"/>
  <c r="BV10" i="3"/>
  <c r="BK10" i="3"/>
  <c r="BK48" i="3" s="1"/>
  <c r="BX10" i="3"/>
  <c r="BR10" i="3"/>
  <c r="BP48" i="3" s="1"/>
  <c r="BW10" i="3"/>
  <c r="BQ10" i="3"/>
  <c r="BO48" i="3" s="1"/>
  <c r="BY10" i="3"/>
  <c r="BS48" i="3" s="1"/>
  <c r="AE9" i="3"/>
  <c r="T47" i="3" s="1"/>
  <c r="C9" i="3"/>
  <c r="BP9" i="3"/>
  <c r="BO9" i="3"/>
  <c r="BM9" i="3"/>
  <c r="BM47" i="3" s="1"/>
  <c r="BX9" i="3"/>
  <c r="BI9" i="3"/>
  <c r="BI47" i="3" s="1"/>
  <c r="BH9" i="3"/>
  <c r="BH47" i="3" s="1"/>
  <c r="BG9" i="3"/>
  <c r="BF9" i="3"/>
  <c r="BU9" i="3"/>
  <c r="BR47" i="3" s="1"/>
  <c r="BJ9" i="3"/>
  <c r="BJ47" i="3" s="1"/>
  <c r="BV9" i="3"/>
  <c r="BR9" i="3"/>
  <c r="BP47" i="3" s="1"/>
  <c r="BL9" i="3"/>
  <c r="BL47" i="3" s="1"/>
  <c r="BN9" i="3"/>
  <c r="BS9" i="3"/>
  <c r="BQ47" i="3" s="1"/>
  <c r="BK9" i="3"/>
  <c r="BK47" i="3" s="1"/>
  <c r="BT9" i="3"/>
  <c r="BQ9" i="3"/>
  <c r="BO47" i="3" s="1"/>
  <c r="BW9" i="3"/>
  <c r="BY9" i="3"/>
  <c r="BS47" i="3" s="1"/>
  <c r="AE24" i="3"/>
  <c r="U44" i="3" s="1"/>
  <c r="C24" i="3"/>
  <c r="BY24" i="3"/>
  <c r="BS62" i="3" s="1"/>
  <c r="BU24" i="3"/>
  <c r="BR62" i="3" s="1"/>
  <c r="BP24" i="3"/>
  <c r="BL24" i="3"/>
  <c r="BL62" i="3" s="1"/>
  <c r="BK24" i="3"/>
  <c r="BK62" i="3" s="1"/>
  <c r="BJ24" i="3"/>
  <c r="BJ62" i="3" s="1"/>
  <c r="BH24" i="3"/>
  <c r="BH62" i="3" s="1"/>
  <c r="BW24" i="3"/>
  <c r="BT24" i="3"/>
  <c r="BQ24" i="3"/>
  <c r="BO62" i="3" s="1"/>
  <c r="BI24" i="3"/>
  <c r="BI62" i="3" s="1"/>
  <c r="BG24" i="3"/>
  <c r="BV24" i="3"/>
  <c r="BX24" i="3"/>
  <c r="BF24" i="3"/>
  <c r="BO24" i="3"/>
  <c r="BS24" i="3"/>
  <c r="BQ62" i="3" s="1"/>
  <c r="BN24" i="3"/>
  <c r="BR24" i="3"/>
  <c r="BP62" i="3" s="1"/>
  <c r="BM24" i="3"/>
  <c r="BM62" i="3" s="1"/>
  <c r="BY17" i="3"/>
  <c r="BS54" i="3" s="1"/>
  <c r="BM17" i="3"/>
  <c r="BM54" i="3" s="1"/>
  <c r="BJ17" i="3"/>
  <c r="BJ54" i="3" s="1"/>
  <c r="BW17" i="3"/>
  <c r="AE17" i="3"/>
  <c r="C17" i="3"/>
  <c r="BV17" i="3"/>
  <c r="BT17" i="3"/>
  <c r="BS17" i="3"/>
  <c r="BQ54" i="3" s="1"/>
  <c r="BQ17" i="3"/>
  <c r="BO54" i="3" s="1"/>
  <c r="BO17" i="3"/>
  <c r="BK17" i="3"/>
  <c r="BK54" i="3" s="1"/>
  <c r="BI17" i="3"/>
  <c r="BI54" i="3" s="1"/>
  <c r="BG17" i="3"/>
  <c r="BH17" i="3"/>
  <c r="BH54" i="3" s="1"/>
  <c r="BN17" i="3"/>
  <c r="BU17" i="3"/>
  <c r="BR54" i="3" s="1"/>
  <c r="BX17" i="3"/>
  <c r="BF17" i="3"/>
  <c r="BR17" i="3"/>
  <c r="BP54" i="3" s="1"/>
  <c r="BP17" i="3"/>
  <c r="BL17" i="3"/>
  <c r="BL54" i="3" s="1"/>
  <c r="AE6" i="3"/>
  <c r="T44" i="3" s="1"/>
  <c r="C6" i="3"/>
  <c r="BO6" i="3"/>
  <c r="BM6" i="3"/>
  <c r="BM44" i="3" s="1"/>
  <c r="BW6" i="3"/>
  <c r="BV6" i="3"/>
  <c r="BI6" i="3"/>
  <c r="BI44" i="3" s="1"/>
  <c r="BK6" i="3"/>
  <c r="BK44" i="3" s="1"/>
  <c r="BY6" i="3"/>
  <c r="BS44" i="3" s="1"/>
  <c r="BX6" i="3"/>
  <c r="BH6" i="3"/>
  <c r="BH44" i="3" s="1"/>
  <c r="BG6" i="3"/>
  <c r="BF6" i="3"/>
  <c r="BF32" i="3"/>
  <c r="C30" i="3"/>
  <c r="BN30" i="3"/>
  <c r="BL30" i="3"/>
  <c r="BL68" i="3" s="1"/>
  <c r="BX30" i="3"/>
  <c r="BO30" i="3"/>
  <c r="BI30" i="3"/>
  <c r="BI68" i="3" s="1"/>
  <c r="AE30" i="3"/>
  <c r="U50" i="3" s="1"/>
  <c r="BY30" i="3"/>
  <c r="BS68" i="3" s="1"/>
  <c r="BU30" i="3"/>
  <c r="BR68" i="3" s="1"/>
  <c r="BF25" i="3"/>
  <c r="AE35" i="3"/>
  <c r="BP35" i="3"/>
  <c r="BV35" i="3"/>
  <c r="BN35" i="3"/>
  <c r="BP32" i="3"/>
  <c r="BU6" i="3"/>
  <c r="BR44" i="3" s="1"/>
  <c r="AE23" i="3"/>
  <c r="U43" i="3" s="1"/>
  <c r="BL23" i="3"/>
  <c r="BL61" i="3" s="1"/>
  <c r="BU23" i="3"/>
  <c r="BR61" i="3" s="1"/>
  <c r="BI23" i="3"/>
  <c r="BI61" i="3" s="1"/>
  <c r="BF23" i="3"/>
  <c r="BX23" i="3"/>
  <c r="BV23" i="3"/>
  <c r="C23" i="3"/>
  <c r="BT23" i="3"/>
  <c r="BS23" i="3"/>
  <c r="BQ61" i="3" s="1"/>
  <c r="BR23" i="3"/>
  <c r="BP61" i="3" s="1"/>
  <c r="BP23" i="3"/>
  <c r="BK23" i="3"/>
  <c r="BK61" i="3" s="1"/>
  <c r="BF33" i="3"/>
  <c r="BS30" i="3"/>
  <c r="BQ68" i="3" s="1"/>
  <c r="BJ23" i="3"/>
  <c r="BJ61" i="3" s="1"/>
  <c r="BO23" i="3"/>
  <c r="BM35" i="3"/>
  <c r="BM72" i="3" s="1"/>
  <c r="BM32" i="3"/>
  <c r="BJ32" i="3"/>
  <c r="C32" i="3"/>
  <c r="AE32" i="3"/>
  <c r="U52" i="3" s="1"/>
  <c r="BX32" i="3"/>
  <c r="BV32" i="3"/>
  <c r="BL32" i="3"/>
  <c r="BY32" i="3"/>
  <c r="BW32" i="3"/>
  <c r="BK32" i="3"/>
  <c r="C34" i="3"/>
  <c r="C33" i="3"/>
  <c r="AE11" i="3"/>
  <c r="T49" i="3" s="1"/>
  <c r="BM11" i="3"/>
  <c r="BM49" i="3" s="1"/>
  <c r="BL11" i="3"/>
  <c r="BL49" i="3" s="1"/>
  <c r="BI11" i="3"/>
  <c r="BI49" i="3" s="1"/>
  <c r="BV11" i="3"/>
  <c r="BT11" i="3"/>
  <c r="BS11" i="3"/>
  <c r="BQ49" i="3" s="1"/>
  <c r="BH11" i="3"/>
  <c r="BH49" i="3" s="1"/>
  <c r="C11" i="3"/>
  <c r="BY11" i="3"/>
  <c r="BS49" i="3" s="1"/>
  <c r="BX11" i="3"/>
  <c r="BN11" i="3"/>
  <c r="BJ6" i="3"/>
  <c r="BJ44" i="3" s="1"/>
  <c r="BW11" i="3"/>
  <c r="AE8" i="3"/>
  <c r="T46" i="3" s="1"/>
  <c r="C8" i="3"/>
  <c r="BN8" i="3"/>
  <c r="BI8" i="3"/>
  <c r="BI46" i="3" s="1"/>
  <c r="BX8" i="3"/>
  <c r="BU8" i="3"/>
  <c r="BR46" i="3" s="1"/>
  <c r="BO11" i="3"/>
  <c r="BV8" i="3"/>
  <c r="BM30" i="3"/>
  <c r="BM68" i="3" s="1"/>
  <c r="BQ30" i="3"/>
  <c r="BO68" i="3" s="1"/>
  <c r="BK11" i="3"/>
  <c r="BK49" i="3" s="1"/>
  <c r="BY8" i="3"/>
  <c r="BS46" i="3" s="1"/>
  <c r="BR11" i="3"/>
  <c r="BP49" i="3" s="1"/>
  <c r="BS35" i="3"/>
  <c r="BQ72" i="3" s="1"/>
  <c r="BU25" i="3"/>
  <c r="BR63" i="3" s="1"/>
  <c r="BL13" i="3"/>
  <c r="BL51" i="3" s="1"/>
  <c r="BK13" i="3"/>
  <c r="BK51" i="3" s="1"/>
  <c r="BG13" i="3"/>
  <c r="BW13" i="3"/>
  <c r="BV13" i="3"/>
  <c r="BU13" i="3"/>
  <c r="BR51" i="3" s="1"/>
  <c r="BS13" i="3"/>
  <c r="BQ51" i="3" s="1"/>
  <c r="BR13" i="3"/>
  <c r="BP51" i="3" s="1"/>
  <c r="BF13" i="3"/>
  <c r="AE13" i="3"/>
  <c r="T51" i="3" s="1"/>
  <c r="C13" i="3"/>
  <c r="BK29" i="3"/>
  <c r="BK67" i="3" s="1"/>
  <c r="BT5" i="3"/>
  <c r="BR5" i="3"/>
  <c r="BP43" i="3" s="1"/>
  <c r="BP5" i="3"/>
  <c r="AE5" i="3"/>
  <c r="T43" i="3" s="1"/>
  <c r="BU5" i="3"/>
  <c r="BR43" i="3" s="1"/>
  <c r="C5" i="3"/>
  <c r="BL5" i="3"/>
  <c r="BL43" i="3" s="1"/>
  <c r="BJ5" i="3"/>
  <c r="BJ43" i="3" s="1"/>
  <c r="BH5" i="3"/>
  <c r="BH43" i="3" s="1"/>
  <c r="BG5" i="3"/>
  <c r="BY5" i="3"/>
  <c r="BS43" i="3" s="1"/>
  <c r="BX5" i="3"/>
  <c r="BL6" i="3"/>
  <c r="BL44" i="3" s="1"/>
  <c r="BY35" i="3"/>
  <c r="BS72" i="3" s="1"/>
  <c r="BO27" i="3"/>
  <c r="BN32" i="3"/>
  <c r="BU16" i="3"/>
  <c r="BR53" i="3" s="1"/>
  <c r="C16" i="3"/>
  <c r="BO16" i="3"/>
  <c r="BS16" i="3"/>
  <c r="BQ53" i="3" s="1"/>
  <c r="BI16" i="3"/>
  <c r="BI53" i="3" s="1"/>
  <c r="AE16" i="3"/>
  <c r="T54" i="3" s="1"/>
  <c r="BG16" i="3"/>
  <c r="BY16" i="3"/>
  <c r="BS53" i="3" s="1"/>
  <c r="BV16" i="3"/>
  <c r="BM23" i="3"/>
  <c r="BM61" i="3" s="1"/>
  <c r="BN6" i="3"/>
  <c r="BY25" i="3"/>
  <c r="BS63" i="3" s="1"/>
  <c r="BY33" i="3"/>
  <c r="BS70" i="3" s="1"/>
  <c r="BF16" i="3"/>
  <c r="BG11" i="3"/>
  <c r="BP8" i="3"/>
  <c r="BJ29" i="3"/>
  <c r="BJ67" i="3" s="1"/>
  <c r="BP30" i="3"/>
  <c r="BQ11" i="3"/>
  <c r="BO49" i="3" s="1"/>
  <c r="BP25" i="3"/>
  <c r="BS33" i="3"/>
  <c r="BQ70" i="3" s="1"/>
  <c r="BO33" i="3"/>
  <c r="AE31" i="3"/>
  <c r="U51" i="3" s="1"/>
  <c r="C31" i="3"/>
  <c r="BO31" i="3"/>
  <c r="BN31" i="3"/>
  <c r="BR31" i="3"/>
  <c r="BP69" i="3" s="1"/>
  <c r="BF5" i="3"/>
  <c r="BO15" i="3"/>
  <c r="BQ8" i="3"/>
  <c r="BO46" i="3" s="1"/>
  <c r="BQ27" i="3"/>
  <c r="BO65" i="3" s="1"/>
  <c r="BO8" i="3"/>
  <c r="BN27" i="3"/>
  <c r="BY14" i="3"/>
  <c r="BS31" i="3"/>
  <c r="BQ69" i="3" s="1"/>
  <c r="BG8" i="3"/>
  <c r="BG46" i="3" s="1"/>
  <c r="BQ32" i="3"/>
  <c r="BJ11" i="3"/>
  <c r="BJ49" i="3" s="1"/>
  <c r="C29" i="3"/>
  <c r="BS29" i="3"/>
  <c r="BQ67" i="3" s="1"/>
  <c r="BN29" i="3"/>
  <c r="AE29" i="3"/>
  <c r="U49" i="3" s="1"/>
  <c r="BF29" i="3"/>
  <c r="BK33" i="3"/>
  <c r="BK70" i="3" s="1"/>
  <c r="BJ33" i="3"/>
  <c r="BJ70" i="3" s="1"/>
  <c r="AE33" i="3"/>
  <c r="U53" i="3" s="1"/>
  <c r="BX33" i="3"/>
  <c r="BI5" i="3"/>
  <c r="BI43" i="3" s="1"/>
  <c r="BQ5" i="3"/>
  <c r="BO43" i="3" s="1"/>
  <c r="BM25" i="3"/>
  <c r="BM63" i="3" s="1"/>
  <c r="BT13" i="3"/>
  <c r="BT6" i="3"/>
  <c r="BP27" i="3"/>
  <c r="BU29" i="3"/>
  <c r="BR67" i="3" s="1"/>
  <c r="BP6" i="3"/>
  <c r="AE15" i="3"/>
  <c r="T53" i="3" s="1"/>
  <c r="BG15" i="3"/>
  <c r="BW15" i="3"/>
  <c r="C15" i="3"/>
  <c r="BN15" i="3"/>
  <c r="BK15" i="3"/>
  <c r="BK52" i="3" s="1"/>
  <c r="BT15" i="3"/>
  <c r="BQ15" i="3"/>
  <c r="BO52" i="3" s="1"/>
  <c r="BP15" i="3"/>
  <c r="R58" i="3"/>
  <c r="BU33" i="3"/>
  <c r="BR70" i="3" s="1"/>
  <c r="BI32" i="3"/>
  <c r="BF35" i="3"/>
  <c r="BQ35" i="3"/>
  <c r="BO72" i="3" s="1"/>
  <c r="BV30" i="3"/>
  <c r="BX35" i="3"/>
  <c r="BM26" i="3"/>
  <c r="BM64" i="3" s="1"/>
  <c r="C26" i="3"/>
  <c r="BJ26" i="3"/>
  <c r="BJ64" i="3" s="1"/>
  <c r="BG26" i="3"/>
  <c r="BS26" i="3"/>
  <c r="BQ64" i="3" s="1"/>
  <c r="BR26" i="3"/>
  <c r="BP64" i="3" s="1"/>
  <c r="BP26" i="3"/>
  <c r="BH26" i="3"/>
  <c r="BH64" i="3" s="1"/>
  <c r="BY26" i="3"/>
  <c r="BS64" i="3" s="1"/>
  <c r="AE26" i="3"/>
  <c r="U46" i="3" s="1"/>
  <c r="BG35" i="3"/>
  <c r="BH13" i="3"/>
  <c r="BH51" i="3" s="1"/>
  <c r="BM33" i="3"/>
  <c r="BM70" i="3" s="1"/>
  <c r="BL8" i="3"/>
  <c r="BL46" i="3" s="1"/>
  <c r="BK35" i="3"/>
  <c r="BK72" i="3" s="1"/>
  <c r="BK8" i="3"/>
  <c r="BK46" i="3" s="1"/>
  <c r="BN23" i="3"/>
  <c r="BI29" i="3"/>
  <c r="BI67" i="3" s="1"/>
  <c r="BQ6" i="3"/>
  <c r="BO44" i="3" s="1"/>
  <c r="BI15" i="3"/>
  <c r="BI52" i="3" s="1"/>
  <c r="BH15" i="3"/>
  <c r="BH52" i="3" s="1"/>
  <c r="BV15" i="3"/>
  <c r="BT8" i="3"/>
  <c r="AE25" i="3"/>
  <c r="U45" i="3" s="1"/>
  <c r="BG25" i="3"/>
  <c r="BQ25" i="3"/>
  <c r="BO63" i="3" s="1"/>
  <c r="BW25" i="3"/>
  <c r="C25" i="3"/>
  <c r="BX25" i="3"/>
  <c r="BV25" i="3"/>
  <c r="BN25" i="3"/>
  <c r="BK25" i="3"/>
  <c r="BK63" i="3" s="1"/>
  <c r="BJ25" i="3"/>
  <c r="BJ63" i="3" s="1"/>
  <c r="BI25" i="3"/>
  <c r="BI63" i="3" s="1"/>
  <c r="BR35" i="3"/>
  <c r="BP72" i="3" s="1"/>
  <c r="BQ23" i="3"/>
  <c r="BO61" i="3" s="1"/>
  <c r="BO25" i="3"/>
  <c r="BT16" i="3"/>
  <c r="BW8" i="3"/>
  <c r="BH25" i="3"/>
  <c r="BH63" i="3" s="1"/>
  <c r="BS8" i="3"/>
  <c r="BQ46" i="3" s="1"/>
  <c r="BO13" i="3"/>
  <c r="C27" i="3"/>
  <c r="BR27" i="3"/>
  <c r="BP65" i="3" s="1"/>
  <c r="BK27" i="3"/>
  <c r="BK65" i="3" s="1"/>
  <c r="BW27" i="3"/>
  <c r="BS27" i="3"/>
  <c r="BQ65" i="3" s="1"/>
  <c r="BH27" i="3"/>
  <c r="BH65" i="3" s="1"/>
  <c r="BF27" i="3"/>
  <c r="AE27" i="3"/>
  <c r="U47" i="3" s="1"/>
  <c r="C35" i="3"/>
  <c r="BL33" i="3"/>
  <c r="BL70" i="3" s="1"/>
  <c r="AC18" i="3"/>
  <c r="BW30" i="3"/>
  <c r="BG29" i="3"/>
  <c r="BN5" i="3"/>
  <c r="BS6" i="3"/>
  <c r="BQ44" i="3" s="1"/>
  <c r="BJ15" i="3"/>
  <c r="BJ52" i="3" s="1"/>
  <c r="S55" i="3"/>
  <c r="S57" i="3" s="1"/>
  <c r="R59" i="3"/>
  <c r="BI27" i="3"/>
  <c r="BI65" i="3" s="1"/>
  <c r="BG30" i="3"/>
  <c r="BG68" i="3" s="1"/>
  <c r="BG33" i="3"/>
  <c r="BW23" i="3"/>
  <c r="BH23" i="3"/>
  <c r="BH61" i="3" s="1"/>
  <c r="BT29" i="3"/>
  <c r="BV27" i="3"/>
  <c r="BQ16" i="3"/>
  <c r="BO53" i="3" s="1"/>
  <c r="BK30" i="3"/>
  <c r="BK68" i="3" s="1"/>
  <c r="BT27" i="3"/>
  <c r="BU11" i="3"/>
  <c r="BR49" i="3" s="1"/>
  <c r="BP29" i="3"/>
  <c r="BI26" i="3"/>
  <c r="BI64" i="3" s="1"/>
  <c r="BW33" i="3"/>
  <c r="BL35" i="3"/>
  <c r="BL72" i="3" s="1"/>
  <c r="BN16" i="3"/>
  <c r="BM5" i="3"/>
  <c r="BM43" i="3" s="1"/>
  <c r="BV5" i="3"/>
  <c r="BU14" i="3"/>
  <c r="BJ14" i="3"/>
  <c r="BI14" i="3"/>
  <c r="BX14" i="3"/>
  <c r="BV14" i="3"/>
  <c r="AE14" i="3"/>
  <c r="T52" i="3" s="1"/>
  <c r="C14" i="3"/>
  <c r="BT14" i="3"/>
  <c r="BP14" i="3"/>
  <c r="BL14" i="3"/>
  <c r="BS14" i="3"/>
  <c r="BQ14" i="3"/>
  <c r="BS5" i="3"/>
  <c r="BQ43" i="3" s="1"/>
  <c r="BP13" i="3"/>
  <c r="BW5" i="3"/>
  <c r="BF11" i="3"/>
  <c r="BS32" i="3"/>
  <c r="BU32" i="3"/>
  <c r="BJ35" i="3"/>
  <c r="BJ72" i="3" s="1"/>
  <c r="BI33" i="3"/>
  <c r="BI70" i="3" s="1"/>
  <c r="BU27" i="3"/>
  <c r="BR65" i="3" s="1"/>
  <c r="BJ30" i="3"/>
  <c r="BJ68" i="3" s="1"/>
  <c r="BW35" i="3"/>
  <c r="BQ13" i="3"/>
  <c r="BO51" i="3" s="1"/>
  <c r="BS25" i="3"/>
  <c r="BQ63" i="3" s="1"/>
  <c r="BF26" i="3"/>
  <c r="BT32" i="3"/>
  <c r="BH29" i="3"/>
  <c r="BH67" i="3" s="1"/>
  <c r="BJ27" i="3"/>
  <c r="BJ65" i="3" s="1"/>
  <c r="BR15" i="3"/>
  <c r="BP52" i="3" s="1"/>
  <c r="BR29" i="3"/>
  <c r="BP67" i="3" s="1"/>
  <c r="BH16" i="3"/>
  <c r="BH53" i="3" s="1"/>
  <c r="BP16" i="3"/>
  <c r="BX29" i="3"/>
  <c r="BR30" i="3"/>
  <c r="BP68" i="3" s="1"/>
  <c r="BO5" i="3"/>
  <c r="BM16" i="3"/>
  <c r="BM53" i="3" s="1"/>
  <c r="BR6" i="3"/>
  <c r="BP44" i="3" s="1"/>
  <c r="BT33" i="3"/>
  <c r="BX27" i="3"/>
  <c r="AE12" i="3"/>
  <c r="T50" i="3" s="1"/>
  <c r="BS12" i="3"/>
  <c r="BQ50" i="3" s="1"/>
  <c r="BR12" i="3"/>
  <c r="BP50" i="3" s="1"/>
  <c r="C12" i="3"/>
  <c r="BQ12" i="3"/>
  <c r="BO50" i="3" s="1"/>
  <c r="BY12" i="3"/>
  <c r="BS50" i="3" s="1"/>
  <c r="BW12" i="3"/>
  <c r="BL12" i="3"/>
  <c r="BL50" i="3" s="1"/>
  <c r="BK12" i="3"/>
  <c r="BK50" i="3" s="1"/>
  <c r="BG12" i="3"/>
  <c r="BF12" i="3"/>
  <c r="BG23" i="3"/>
  <c r="BK5" i="3"/>
  <c r="BK43" i="3" s="1"/>
  <c r="BW35" i="2"/>
  <c r="BJ35" i="2"/>
  <c r="BJ72" i="2" s="1"/>
  <c r="BN35" i="2"/>
  <c r="AE35" i="2"/>
  <c r="BU35" i="2"/>
  <c r="BR72" i="2" s="1"/>
  <c r="BT35" i="2"/>
  <c r="BV35" i="2"/>
  <c r="C35" i="2"/>
  <c r="BI35" i="2"/>
  <c r="BI72" i="2" s="1"/>
  <c r="BM35" i="2"/>
  <c r="BM72" i="2" s="1"/>
  <c r="BH35" i="2"/>
  <c r="BH72" i="2" s="1"/>
  <c r="BS35" i="2"/>
  <c r="BQ72" i="2" s="1"/>
  <c r="BP35" i="2"/>
  <c r="BK35" i="2"/>
  <c r="BK72" i="2" s="1"/>
  <c r="BG35" i="2"/>
  <c r="BR35" i="2"/>
  <c r="BP72" i="2" s="1"/>
  <c r="BL35" i="2"/>
  <c r="BL72" i="2" s="1"/>
  <c r="BO35" i="2"/>
  <c r="BX35" i="2"/>
  <c r="BQ35" i="2"/>
  <c r="BO72" i="2" s="1"/>
  <c r="BY35" i="2"/>
  <c r="BS72" i="2" s="1"/>
  <c r="BF35" i="2"/>
  <c r="BV28" i="2"/>
  <c r="AE28" i="2"/>
  <c r="U48" i="2" s="1"/>
  <c r="BN28" i="2"/>
  <c r="BI28" i="2"/>
  <c r="BI66" i="2" s="1"/>
  <c r="C28" i="2"/>
  <c r="BS28" i="2"/>
  <c r="BQ66" i="2" s="1"/>
  <c r="BR28" i="2"/>
  <c r="BP66" i="2" s="1"/>
  <c r="BO28" i="2"/>
  <c r="BJ28" i="2"/>
  <c r="BJ66" i="2" s="1"/>
  <c r="BF28" i="2"/>
  <c r="BX28" i="2"/>
  <c r="BL28" i="2"/>
  <c r="BL66" i="2" s="1"/>
  <c r="BU28" i="2"/>
  <c r="BR66" i="2" s="1"/>
  <c r="BM28" i="2"/>
  <c r="BM66" i="2" s="1"/>
  <c r="BW28" i="2"/>
  <c r="BQ28" i="2"/>
  <c r="BO66" i="2" s="1"/>
  <c r="BK28" i="2"/>
  <c r="BK66" i="2" s="1"/>
  <c r="BP28" i="2"/>
  <c r="BG28" i="2"/>
  <c r="BH28" i="2"/>
  <c r="BH66" i="2" s="1"/>
  <c r="BY28" i="2"/>
  <c r="BS66" i="2" s="1"/>
  <c r="BT28" i="2"/>
  <c r="BR17" i="2"/>
  <c r="BP54" i="2" s="1"/>
  <c r="BF17" i="2"/>
  <c r="AE17" i="2"/>
  <c r="C17" i="2"/>
  <c r="BJ17" i="2"/>
  <c r="BJ54" i="2" s="1"/>
  <c r="BV17" i="2"/>
  <c r="BQ17" i="2"/>
  <c r="BO54" i="2" s="1"/>
  <c r="BP17" i="2"/>
  <c r="BO17" i="2"/>
  <c r="BI17" i="2"/>
  <c r="BI54" i="2" s="1"/>
  <c r="BT17" i="2"/>
  <c r="BS17" i="2"/>
  <c r="BQ54" i="2" s="1"/>
  <c r="BH17" i="2"/>
  <c r="BH54" i="2" s="1"/>
  <c r="BG17" i="2"/>
  <c r="BU17" i="2"/>
  <c r="BR54" i="2" s="1"/>
  <c r="BN17" i="2"/>
  <c r="BY17" i="2"/>
  <c r="BS54" i="2" s="1"/>
  <c r="BK17" i="2"/>
  <c r="BK54" i="2" s="1"/>
  <c r="BW17" i="2"/>
  <c r="BL17" i="2"/>
  <c r="BL54" i="2" s="1"/>
  <c r="BM17" i="2"/>
  <c r="BM54" i="2" s="1"/>
  <c r="BX17" i="2"/>
  <c r="BI33" i="2"/>
  <c r="BI70" i="2" s="1"/>
  <c r="BN33" i="2"/>
  <c r="BF33" i="2"/>
  <c r="BJ16" i="2"/>
  <c r="BJ53" i="2" s="1"/>
  <c r="BS25" i="2"/>
  <c r="BQ63" i="2" s="1"/>
  <c r="C25" i="2"/>
  <c r="BN25" i="2"/>
  <c r="BQ25" i="2"/>
  <c r="BO63" i="2" s="1"/>
  <c r="BP25" i="2"/>
  <c r="BH25" i="2"/>
  <c r="BH63" i="2" s="1"/>
  <c r="AE25" i="2"/>
  <c r="U45" i="2" s="1"/>
  <c r="BQ24" i="2"/>
  <c r="BO62" i="2" s="1"/>
  <c r="BP24" i="2"/>
  <c r="BS33" i="2"/>
  <c r="BQ70" i="2" s="1"/>
  <c r="BJ25" i="2"/>
  <c r="BJ63" i="2" s="1"/>
  <c r="BN31" i="2"/>
  <c r="BX24" i="2"/>
  <c r="BV34" i="2"/>
  <c r="BL34" i="2"/>
  <c r="BL71" i="2" s="1"/>
  <c r="BH34" i="2"/>
  <c r="BH71" i="2" s="1"/>
  <c r="C34" i="2"/>
  <c r="AE34" i="2"/>
  <c r="BU34" i="2"/>
  <c r="BR71" i="2" s="1"/>
  <c r="BM34" i="2"/>
  <c r="BM71" i="2" s="1"/>
  <c r="BI34" i="2"/>
  <c r="BI71" i="2" s="1"/>
  <c r="BY34" i="2"/>
  <c r="BS71" i="2" s="1"/>
  <c r="BP34" i="2"/>
  <c r="BT34" i="2"/>
  <c r="BO33" i="2"/>
  <c r="BG24" i="2"/>
  <c r="BG62" i="2" s="1"/>
  <c r="BM25" i="2"/>
  <c r="BM63" i="2" s="1"/>
  <c r="BR6" i="2"/>
  <c r="BP44" i="2" s="1"/>
  <c r="AE6" i="2"/>
  <c r="T44" i="2" s="1"/>
  <c r="BF6" i="2"/>
  <c r="C6" i="2"/>
  <c r="BM6" i="2"/>
  <c r="BM44" i="2" s="1"/>
  <c r="BO6" i="2"/>
  <c r="BY6" i="2"/>
  <c r="BS44" i="2" s="1"/>
  <c r="BQ6" i="2"/>
  <c r="BO44" i="2" s="1"/>
  <c r="BL6" i="2"/>
  <c r="BL44" i="2" s="1"/>
  <c r="BX6" i="2"/>
  <c r="BP6" i="2"/>
  <c r="BU9" i="2"/>
  <c r="BR47" i="2" s="1"/>
  <c r="BI9" i="2"/>
  <c r="BI47" i="2" s="1"/>
  <c r="BP9" i="2"/>
  <c r="C9" i="2"/>
  <c r="BR9" i="2"/>
  <c r="BP47" i="2" s="1"/>
  <c r="BF9" i="2"/>
  <c r="AE9" i="2"/>
  <c r="T47" i="2" s="1"/>
  <c r="BT9" i="2"/>
  <c r="BO9" i="2"/>
  <c r="BH9" i="2"/>
  <c r="BH47" i="2" s="1"/>
  <c r="BG33" i="2"/>
  <c r="AC10" i="2"/>
  <c r="BV8" i="2"/>
  <c r="BJ8" i="2"/>
  <c r="BJ46" i="2" s="1"/>
  <c r="BN8" i="2"/>
  <c r="BM8" i="2"/>
  <c r="BM46" i="2" s="1"/>
  <c r="BI8" i="2"/>
  <c r="BI46" i="2" s="1"/>
  <c r="AE8" i="2"/>
  <c r="T46" i="2" s="1"/>
  <c r="BY8" i="2"/>
  <c r="BS46" i="2" s="1"/>
  <c r="BU8" i="2"/>
  <c r="BR46" i="2" s="1"/>
  <c r="C8" i="2"/>
  <c r="BP8" i="2"/>
  <c r="BV31" i="2"/>
  <c r="BX36" i="2"/>
  <c r="BK36" i="2"/>
  <c r="BK73" i="2" s="1"/>
  <c r="BW36" i="2"/>
  <c r="BG36" i="2"/>
  <c r="C36" i="2"/>
  <c r="BV36" i="2"/>
  <c r="BO36" i="2"/>
  <c r="BJ36" i="2"/>
  <c r="BJ73" i="2" s="1"/>
  <c r="BU36" i="2"/>
  <c r="BR73" i="2" s="1"/>
  <c r="BI36" i="2"/>
  <c r="BI73" i="2" s="1"/>
  <c r="AE36" i="2"/>
  <c r="BF36" i="2"/>
  <c r="BT36" i="2"/>
  <c r="BS36" i="2"/>
  <c r="BQ73" i="2" s="1"/>
  <c r="R59" i="2"/>
  <c r="S55" i="2"/>
  <c r="S57" i="2" s="1"/>
  <c r="BY27" i="2"/>
  <c r="BS65" i="2" s="1"/>
  <c r="BX27" i="2"/>
  <c r="BH27" i="2"/>
  <c r="BH65" i="2" s="1"/>
  <c r="BW27" i="2"/>
  <c r="BT27" i="2"/>
  <c r="BU27" i="2"/>
  <c r="BR65" i="2" s="1"/>
  <c r="BS27" i="2"/>
  <c r="BQ65" i="2" s="1"/>
  <c r="BL27" i="2"/>
  <c r="BL65" i="2" s="1"/>
  <c r="BK27" i="2"/>
  <c r="BK65" i="2" s="1"/>
  <c r="C27" i="2"/>
  <c r="BG27" i="2"/>
  <c r="AE27" i="2"/>
  <c r="U47" i="2" s="1"/>
  <c r="BF27" i="2"/>
  <c r="BX31" i="2"/>
  <c r="BK24" i="2"/>
  <c r="BK62" i="2" s="1"/>
  <c r="BQ33" i="2"/>
  <c r="BO70" i="2" s="1"/>
  <c r="BW31" i="2"/>
  <c r="BN16" i="2"/>
  <c r="BG61" i="2"/>
  <c r="BO16" i="2"/>
  <c r="BG9" i="2"/>
  <c r="BN6" i="2"/>
  <c r="BR31" i="2"/>
  <c r="BP69" i="2" s="1"/>
  <c r="BV18" i="2"/>
  <c r="AE7" i="2"/>
  <c r="T45" i="2" s="1"/>
  <c r="BN7" i="2"/>
  <c r="BR7" i="2"/>
  <c r="BP45" i="2" s="1"/>
  <c r="BQ7" i="2"/>
  <c r="BO45" i="2" s="1"/>
  <c r="BM7" i="2"/>
  <c r="BM45" i="2" s="1"/>
  <c r="BH7" i="2"/>
  <c r="BH45" i="2" s="1"/>
  <c r="BF7" i="2"/>
  <c r="BS7" i="2"/>
  <c r="BQ45" i="2" s="1"/>
  <c r="C7" i="2"/>
  <c r="BY7" i="2"/>
  <c r="BS45" i="2" s="1"/>
  <c r="BT7" i="2"/>
  <c r="BS34" i="2"/>
  <c r="BQ71" i="2" s="1"/>
  <c r="BN9" i="2"/>
  <c r="BO8" i="2"/>
  <c r="BP36" i="2"/>
  <c r="BI31" i="2"/>
  <c r="BI69" i="2" s="1"/>
  <c r="BK34" i="2"/>
  <c r="BK71" i="2" s="1"/>
  <c r="BH36" i="2"/>
  <c r="BH73" i="2" s="1"/>
  <c r="BN27" i="2"/>
  <c r="BJ31" i="2"/>
  <c r="BJ69" i="2" s="1"/>
  <c r="C12" i="2"/>
  <c r="BL12" i="2"/>
  <c r="BL50" i="2" s="1"/>
  <c r="BG12" i="2"/>
  <c r="BV12" i="2"/>
  <c r="BO12" i="2"/>
  <c r="BI12" i="2"/>
  <c r="BI50" i="2" s="1"/>
  <c r="AE12" i="2"/>
  <c r="T50" i="2" s="1"/>
  <c r="BW14" i="2"/>
  <c r="BX14" i="2"/>
  <c r="BM14" i="2"/>
  <c r="BN14" i="2"/>
  <c r="BS14" i="2"/>
  <c r="BL14" i="2"/>
  <c r="BH14" i="2"/>
  <c r="BK14" i="2"/>
  <c r="C14" i="2"/>
  <c r="AE14" i="2"/>
  <c r="T52" i="2" s="1"/>
  <c r="BH12" i="2"/>
  <c r="BH50" i="2" s="1"/>
  <c r="BK32" i="2"/>
  <c r="BX32" i="2"/>
  <c r="C32" i="2"/>
  <c r="BG32" i="2"/>
  <c r="AE32" i="2"/>
  <c r="U52" i="2" s="1"/>
  <c r="BR32" i="2"/>
  <c r="BO32" i="2"/>
  <c r="BS32" i="2"/>
  <c r="BN32" i="2"/>
  <c r="BL32" i="2"/>
  <c r="BH32" i="2"/>
  <c r="BH8" i="2"/>
  <c r="BH46" i="2" s="1"/>
  <c r="BS18" i="2"/>
  <c r="BQ55" i="2" s="1"/>
  <c r="BQ14" i="2"/>
  <c r="BY11" i="2"/>
  <c r="BS49" i="2" s="1"/>
  <c r="BM18" i="2"/>
  <c r="BM55" i="2" s="1"/>
  <c r="BJ18" i="2"/>
  <c r="BJ55" i="2" s="1"/>
  <c r="BG5" i="2"/>
  <c r="BS5" i="2"/>
  <c r="BQ43" i="2" s="1"/>
  <c r="AE5" i="2"/>
  <c r="T43" i="2" s="1"/>
  <c r="BF5" i="2"/>
  <c r="BY5" i="2"/>
  <c r="BS43" i="2" s="1"/>
  <c r="C5" i="2"/>
  <c r="BW5" i="2"/>
  <c r="BV5" i="2"/>
  <c r="BR5" i="2"/>
  <c r="BP43" i="2" s="1"/>
  <c r="BM5" i="2"/>
  <c r="BM43" i="2" s="1"/>
  <c r="BL5" i="2"/>
  <c r="BL43" i="2" s="1"/>
  <c r="BK5" i="2"/>
  <c r="BK43" i="2" s="1"/>
  <c r="BJ5" i="2"/>
  <c r="BJ43" i="2" s="1"/>
  <c r="BX8" i="2"/>
  <c r="BG34" i="2"/>
  <c r="BW9" i="2"/>
  <c r="BU6" i="2"/>
  <c r="BR44" i="2" s="1"/>
  <c r="BN12" i="2"/>
  <c r="BY33" i="2"/>
  <c r="BS70" i="2" s="1"/>
  <c r="BM32" i="2"/>
  <c r="BR25" i="2"/>
  <c r="BP63" i="2" s="1"/>
  <c r="BN34" i="2"/>
  <c r="BR18" i="2"/>
  <c r="BP55" i="2" s="1"/>
  <c r="BQ11" i="2"/>
  <c r="BO49" i="2" s="1"/>
  <c r="BW12" i="2"/>
  <c r="BO27" i="2"/>
  <c r="BI32" i="2"/>
  <c r="BI7" i="2"/>
  <c r="BI45" i="2" s="1"/>
  <c r="BG18" i="2"/>
  <c r="BR12" i="2"/>
  <c r="BP50" i="2" s="1"/>
  <c r="BM11" i="2"/>
  <c r="BM49" i="2" s="1"/>
  <c r="BH5" i="2"/>
  <c r="BH43" i="2" s="1"/>
  <c r="BL8" i="2"/>
  <c r="BL46" i="2" s="1"/>
  <c r="BW33" i="2"/>
  <c r="BO11" i="2"/>
  <c r="BK9" i="2"/>
  <c r="BK47" i="2" s="1"/>
  <c r="BI6" i="2"/>
  <c r="BI44" i="2" s="1"/>
  <c r="BY9" i="2"/>
  <c r="BS47" i="2" s="1"/>
  <c r="BY36" i="2"/>
  <c r="BS73" i="2" s="1"/>
  <c r="BK25" i="2"/>
  <c r="BK63" i="2" s="1"/>
  <c r="BF18" i="2"/>
  <c r="BG7" i="2"/>
  <c r="BU18" i="2"/>
  <c r="BR55" i="2" s="1"/>
  <c r="BX9" i="2"/>
  <c r="BN18" i="2"/>
  <c r="BM9" i="2"/>
  <c r="BM47" i="2" s="1"/>
  <c r="AE24" i="2"/>
  <c r="U44" i="2" s="1"/>
  <c r="BU24" i="2"/>
  <c r="BR62" i="2" s="1"/>
  <c r="BT24" i="2"/>
  <c r="C24" i="2"/>
  <c r="BY24" i="2"/>
  <c r="BS62" i="2" s="1"/>
  <c r="BL24" i="2"/>
  <c r="BL62" i="2" s="1"/>
  <c r="BI24" i="2"/>
  <c r="BI62" i="2" s="1"/>
  <c r="BH24" i="2"/>
  <c r="BH62" i="2" s="1"/>
  <c r="BR33" i="2"/>
  <c r="BP70" i="2" s="1"/>
  <c r="S56" i="2"/>
  <c r="BX25" i="2"/>
  <c r="BO34" i="2"/>
  <c r="BG25" i="2"/>
  <c r="BM33" i="2"/>
  <c r="BM70" i="2" s="1"/>
  <c r="BL36" i="2"/>
  <c r="BL73" i="2" s="1"/>
  <c r="BI26" i="2"/>
  <c r="BI64" i="2" s="1"/>
  <c r="BS30" i="2"/>
  <c r="BQ68" i="2" s="1"/>
  <c r="AE30" i="2"/>
  <c r="U50" i="2" s="1"/>
  <c r="C30" i="2"/>
  <c r="BT30" i="2"/>
  <c r="BK30" i="2"/>
  <c r="BK68" i="2" s="1"/>
  <c r="BX30" i="2"/>
  <c r="BP30" i="2"/>
  <c r="BW30" i="2"/>
  <c r="BV30" i="2"/>
  <c r="BH30" i="2"/>
  <c r="BH68" i="2" s="1"/>
  <c r="BG30" i="2"/>
  <c r="BJ30" i="2"/>
  <c r="BJ68" i="2" s="1"/>
  <c r="BY30" i="2"/>
  <c r="BS68" i="2" s="1"/>
  <c r="BT16" i="2"/>
  <c r="BI30" i="2"/>
  <c r="BI68" i="2" s="1"/>
  <c r="BP27" i="2"/>
  <c r="BV9" i="2"/>
  <c r="BU7" i="2"/>
  <c r="BR45" i="2" s="1"/>
  <c r="BF14" i="2"/>
  <c r="BP33" i="2"/>
  <c r="BQ9" i="2"/>
  <c r="BO47" i="2" s="1"/>
  <c r="BR34" i="2"/>
  <c r="BP71" i="2" s="1"/>
  <c r="BS6" i="2"/>
  <c r="BQ44" i="2" s="1"/>
  <c r="BI18" i="2"/>
  <c r="BI55" i="2" s="1"/>
  <c r="BP7" i="2"/>
  <c r="BV11" i="2"/>
  <c r="BV6" i="2"/>
  <c r="BS16" i="2"/>
  <c r="BQ53" i="2" s="1"/>
  <c r="BG16" i="2"/>
  <c r="BL16" i="2"/>
  <c r="BL53" i="2" s="1"/>
  <c r="BK16" i="2"/>
  <c r="BK53" i="2" s="1"/>
  <c r="BF16" i="2"/>
  <c r="AE16" i="2"/>
  <c r="BU16" i="2"/>
  <c r="BR53" i="2" s="1"/>
  <c r="BW16" i="2"/>
  <c r="C16" i="2"/>
  <c r="BR16" i="2"/>
  <c r="BP53" i="2" s="1"/>
  <c r="BQ16" i="2"/>
  <c r="BO53" i="2" s="1"/>
  <c r="BP16" i="2"/>
  <c r="BI16" i="2"/>
  <c r="BI53" i="2" s="1"/>
  <c r="BU31" i="2"/>
  <c r="BR69" i="2" s="1"/>
  <c r="BH31" i="2"/>
  <c r="BH69" i="2" s="1"/>
  <c r="AE31" i="2"/>
  <c r="U51" i="2" s="1"/>
  <c r="C31" i="2"/>
  <c r="BT31" i="2"/>
  <c r="BP31" i="2"/>
  <c r="BO31" i="2"/>
  <c r="BS31" i="2"/>
  <c r="BQ69" i="2" s="1"/>
  <c r="BL31" i="2"/>
  <c r="BL69" i="2" s="1"/>
  <c r="BK31" i="2"/>
  <c r="BK69" i="2" s="1"/>
  <c r="BG31" i="2"/>
  <c r="BS9" i="2"/>
  <c r="BQ47" i="2" s="1"/>
  <c r="BF31" i="2"/>
  <c r="BJ34" i="2"/>
  <c r="BJ71" i="2" s="1"/>
  <c r="BO24" i="2"/>
  <c r="BM31" i="2"/>
  <c r="BM69" i="2" s="1"/>
  <c r="BX26" i="2"/>
  <c r="BK26" i="2"/>
  <c r="BK64" i="2" s="1"/>
  <c r="BY26" i="2"/>
  <c r="BS64" i="2" s="1"/>
  <c r="BV26" i="2"/>
  <c r="AE26" i="2"/>
  <c r="U46" i="2" s="1"/>
  <c r="C26" i="2"/>
  <c r="BP26" i="2"/>
  <c r="BS26" i="2"/>
  <c r="BQ64" i="2" s="1"/>
  <c r="BL26" i="2"/>
  <c r="BL64" i="2" s="1"/>
  <c r="BO26" i="2"/>
  <c r="BH26" i="2"/>
  <c r="BH64" i="2" s="1"/>
  <c r="BQ8" i="2"/>
  <c r="BO46" i="2" s="1"/>
  <c r="BY16" i="2"/>
  <c r="BS53" i="2" s="1"/>
  <c r="BY32" i="2"/>
  <c r="BU26" i="2"/>
  <c r="BR64" i="2" s="1"/>
  <c r="BT14" i="2"/>
  <c r="BH16" i="2"/>
  <c r="BH53" i="2" s="1"/>
  <c r="BM24" i="2"/>
  <c r="BM62" i="2" s="1"/>
  <c r="BF30" i="2"/>
  <c r="BJ9" i="2"/>
  <c r="BJ47" i="2" s="1"/>
  <c r="BQ31" i="2"/>
  <c r="BO69" i="2" s="1"/>
  <c r="BV25" i="2"/>
  <c r="BT63" i="2" s="1"/>
  <c r="BR30" i="2"/>
  <c r="BP68" i="2" s="1"/>
  <c r="BR8" i="2"/>
  <c r="BP46" i="2" s="1"/>
  <c r="BN26" i="2"/>
  <c r="BG6" i="2"/>
  <c r="BV13" i="2"/>
  <c r="BF13" i="2"/>
  <c r="AE13" i="2"/>
  <c r="T51" i="2" s="1"/>
  <c r="BH13" i="2"/>
  <c r="BH51" i="2" s="1"/>
  <c r="BT13" i="2"/>
  <c r="BR13" i="2"/>
  <c r="BP51" i="2" s="1"/>
  <c r="BQ13" i="2"/>
  <c r="BO51" i="2" s="1"/>
  <c r="C13" i="2"/>
  <c r="BJ13" i="2"/>
  <c r="BJ51" i="2" s="1"/>
  <c r="BU5" i="2"/>
  <c r="BR43" i="2" s="1"/>
  <c r="BL9" i="2"/>
  <c r="BL47" i="2" s="1"/>
  <c r="BJ6" i="2"/>
  <c r="BJ44" i="2" s="1"/>
  <c r="BS15" i="2"/>
  <c r="BQ52" i="2" s="1"/>
  <c r="BP15" i="2"/>
  <c r="BG15" i="2"/>
  <c r="BF15" i="2"/>
  <c r="AE15" i="2"/>
  <c r="T53" i="2" s="1"/>
  <c r="BM15" i="2"/>
  <c r="BM52" i="2" s="1"/>
  <c r="BX15" i="2"/>
  <c r="BW15" i="2"/>
  <c r="BV15" i="2"/>
  <c r="C15" i="2"/>
  <c r="BW6" i="2"/>
  <c r="BU33" i="2"/>
  <c r="BR70" i="2" s="1"/>
  <c r="BX33" i="2"/>
  <c r="BL33" i="2"/>
  <c r="BL70" i="2" s="1"/>
  <c r="C33" i="2"/>
  <c r="BK33" i="2"/>
  <c r="BK70" i="2" s="1"/>
  <c r="AE33" i="2"/>
  <c r="U53" i="2" s="1"/>
  <c r="BX11" i="2"/>
  <c r="BK11" i="2"/>
  <c r="BK49" i="2" s="1"/>
  <c r="BS11" i="2"/>
  <c r="BQ49" i="2" s="1"/>
  <c r="BF11" i="2"/>
  <c r="AE11" i="2"/>
  <c r="T49" i="2" s="1"/>
  <c r="BH11" i="2"/>
  <c r="BH49" i="2" s="1"/>
  <c r="BT11" i="2"/>
  <c r="BP11" i="2"/>
  <c r="BJ11" i="2"/>
  <c r="BJ49" i="2" s="1"/>
  <c r="C11" i="2"/>
  <c r="BW11" i="2"/>
  <c r="BR11" i="2"/>
  <c r="BP49" i="2" s="1"/>
  <c r="BI11" i="2"/>
  <c r="BI49" i="2" s="1"/>
  <c r="BW34" i="2"/>
  <c r="BY25" i="2"/>
  <c r="BS63" i="2" s="1"/>
  <c r="AE18" i="2"/>
  <c r="BQ18" i="2"/>
  <c r="BO55" i="2" s="1"/>
  <c r="BH18" i="2"/>
  <c r="BH55" i="2" s="1"/>
  <c r="C18" i="2"/>
  <c r="BP18" i="2"/>
  <c r="BO18" i="2"/>
  <c r="BK18" i="2"/>
  <c r="BK55" i="2" s="1"/>
  <c r="BG11" i="2"/>
  <c r="BT8" i="2"/>
  <c r="BH33" i="2"/>
  <c r="BH70" i="2" s="1"/>
  <c r="BL11" i="2"/>
  <c r="BL49" i="2" s="1"/>
  <c r="BX16" i="2"/>
  <c r="BU30" i="2"/>
  <c r="BR68" i="2" s="1"/>
  <c r="BQ36" i="2"/>
  <c r="BO73" i="2" s="1"/>
  <c r="BT33" i="2"/>
  <c r="BW24" i="2"/>
  <c r="BR36" i="2"/>
  <c r="BP73" i="2" s="1"/>
  <c r="BP14" i="2"/>
  <c r="BW26" i="2"/>
  <c r="BV16" i="2"/>
  <c r="BW8" i="2"/>
  <c r="AE29" i="2"/>
  <c r="U49" i="2" s="1"/>
  <c r="C29" i="2"/>
  <c r="BY29" i="2"/>
  <c r="BS67" i="2" s="1"/>
  <c r="BQ29" i="2"/>
  <c r="BO67" i="2" s="1"/>
  <c r="BW29" i="2"/>
  <c r="BR29" i="2"/>
  <c r="BP67" i="2" s="1"/>
  <c r="BH29" i="2"/>
  <c r="BH67" i="2" s="1"/>
  <c r="BV24" i="2"/>
  <c r="BU12" i="2"/>
  <c r="BR50" i="2" s="1"/>
  <c r="BI25" i="2"/>
  <c r="BI63" i="2" s="1"/>
  <c r="BO29" i="2"/>
  <c r="BF8" i="2"/>
  <c r="BF25" i="2"/>
  <c r="BQ34" i="2"/>
  <c r="BO71" i="2" s="1"/>
  <c r="BO13" i="2"/>
  <c r="BM30" i="2"/>
  <c r="BM68" i="2" s="1"/>
  <c r="BN30" i="2"/>
  <c r="BR24" i="2"/>
  <c r="BP62" i="2" s="1"/>
  <c r="BO25" i="2"/>
  <c r="BK6" i="2"/>
  <c r="BK44" i="2" s="1"/>
  <c r="BO15" i="2"/>
  <c r="BL33" i="1"/>
  <c r="BL70" i="1" s="1"/>
  <c r="BU33" i="1"/>
  <c r="BR70" i="1" s="1"/>
  <c r="BT33" i="1"/>
  <c r="BH33" i="1"/>
  <c r="BH70" i="1" s="1"/>
  <c r="AE33" i="1"/>
  <c r="U53" i="1" s="1"/>
  <c r="BX33" i="1"/>
  <c r="BY33" i="1"/>
  <c r="BS70" i="1" s="1"/>
  <c r="BN33" i="1"/>
  <c r="BR33" i="1"/>
  <c r="BP70" i="1" s="1"/>
  <c r="BI33" i="1"/>
  <c r="BI70" i="1" s="1"/>
  <c r="BQ33" i="1"/>
  <c r="BO70" i="1" s="1"/>
  <c r="BF33" i="1"/>
  <c r="BJ33" i="1"/>
  <c r="BJ70" i="1" s="1"/>
  <c r="BW33" i="1"/>
  <c r="BS33" i="1"/>
  <c r="BQ70" i="1" s="1"/>
  <c r="BM33" i="1"/>
  <c r="BM70" i="1" s="1"/>
  <c r="BO33" i="1"/>
  <c r="BK33" i="1"/>
  <c r="BK70" i="1" s="1"/>
  <c r="BG33" i="1"/>
  <c r="BV33" i="1"/>
  <c r="BP33" i="1"/>
  <c r="BG29" i="1"/>
  <c r="AE29" i="1"/>
  <c r="U49" i="1" s="1"/>
  <c r="BR29" i="1"/>
  <c r="BP67" i="1" s="1"/>
  <c r="BQ29" i="1"/>
  <c r="BO67" i="1" s="1"/>
  <c r="C29" i="1"/>
  <c r="BT29" i="1"/>
  <c r="BS29" i="1"/>
  <c r="BQ67" i="1" s="1"/>
  <c r="BV29" i="1"/>
  <c r="BL29" i="1"/>
  <c r="BL67" i="1" s="1"/>
  <c r="BY29" i="1"/>
  <c r="BS67" i="1" s="1"/>
  <c r="BF29" i="1"/>
  <c r="BX29" i="1"/>
  <c r="BW29" i="1"/>
  <c r="BM29" i="1"/>
  <c r="BM67" i="1" s="1"/>
  <c r="BI29" i="1"/>
  <c r="BI67" i="1" s="1"/>
  <c r="BJ29" i="1"/>
  <c r="BJ67" i="1" s="1"/>
  <c r="BH29" i="1"/>
  <c r="BH67" i="1" s="1"/>
  <c r="BU29" i="1"/>
  <c r="BR67" i="1" s="1"/>
  <c r="BK29" i="1"/>
  <c r="BK67" i="1" s="1"/>
  <c r="BN29" i="1"/>
  <c r="BP29" i="1"/>
  <c r="BO29" i="1"/>
  <c r="AE11" i="1"/>
  <c r="T49" i="1" s="1"/>
  <c r="BT11" i="1"/>
  <c r="BW11" i="1"/>
  <c r="BF11" i="1"/>
  <c r="BH11" i="1"/>
  <c r="BH49" i="1" s="1"/>
  <c r="C11" i="1"/>
  <c r="BV11" i="1"/>
  <c r="BU11" i="1"/>
  <c r="BR49" i="1" s="1"/>
  <c r="BS11" i="1"/>
  <c r="BQ49" i="1" s="1"/>
  <c r="BK11" i="1"/>
  <c r="BK49" i="1" s="1"/>
  <c r="BO11" i="1"/>
  <c r="BN11" i="1"/>
  <c r="BG11" i="1"/>
  <c r="BI11" i="1"/>
  <c r="BI49" i="1" s="1"/>
  <c r="BR11" i="1"/>
  <c r="BP49" i="1" s="1"/>
  <c r="BY11" i="1"/>
  <c r="BS49" i="1" s="1"/>
  <c r="BP11" i="1"/>
  <c r="BL11" i="1"/>
  <c r="BL49" i="1" s="1"/>
  <c r="BM11" i="1"/>
  <c r="BM49" i="1" s="1"/>
  <c r="BQ11" i="1"/>
  <c r="BO49" i="1" s="1"/>
  <c r="BX11" i="1"/>
  <c r="BJ11" i="1"/>
  <c r="BJ49" i="1" s="1"/>
  <c r="C28" i="1"/>
  <c r="BY28" i="1"/>
  <c r="BS66" i="1" s="1"/>
  <c r="BP28" i="1"/>
  <c r="BO28" i="1"/>
  <c r="BN28" i="1"/>
  <c r="AE28" i="1"/>
  <c r="U48" i="1" s="1"/>
  <c r="BT28" i="1"/>
  <c r="BK28" i="1"/>
  <c r="BK66" i="1" s="1"/>
  <c r="BI28" i="1"/>
  <c r="BI66" i="1" s="1"/>
  <c r="BQ28" i="1"/>
  <c r="BO66" i="1" s="1"/>
  <c r="BG28" i="1"/>
  <c r="BW28" i="1"/>
  <c r="BV28" i="1"/>
  <c r="BF28" i="1"/>
  <c r="BM28" i="1"/>
  <c r="BM66" i="1" s="1"/>
  <c r="BJ28" i="1"/>
  <c r="BJ66" i="1" s="1"/>
  <c r="BX28" i="1"/>
  <c r="BH28" i="1"/>
  <c r="BH66" i="1" s="1"/>
  <c r="BL28" i="1"/>
  <c r="BL66" i="1" s="1"/>
  <c r="BS28" i="1"/>
  <c r="BQ66" i="1" s="1"/>
  <c r="BR28" i="1"/>
  <c r="BP66" i="1" s="1"/>
  <c r="BU28" i="1"/>
  <c r="BR66" i="1" s="1"/>
  <c r="BV32" i="1"/>
  <c r="BU32" i="1"/>
  <c r="AE32" i="1"/>
  <c r="U52" i="1" s="1"/>
  <c r="BR32" i="1"/>
  <c r="BQ32" i="1"/>
  <c r="BO32" i="1"/>
  <c r="BP32" i="1"/>
  <c r="BY32" i="1"/>
  <c r="BL32" i="1"/>
  <c r="BG32" i="1"/>
  <c r="BN32" i="1"/>
  <c r="BI32" i="1"/>
  <c r="BM32" i="1"/>
  <c r="BJ32" i="1"/>
  <c r="C32" i="1"/>
  <c r="BX32" i="1"/>
  <c r="BW32" i="1"/>
  <c r="BF32" i="1"/>
  <c r="BT32" i="1"/>
  <c r="BS32" i="1"/>
  <c r="BH32" i="1"/>
  <c r="BK32" i="1"/>
  <c r="C34" i="1"/>
  <c r="AE34" i="1"/>
  <c r="BS34" i="1"/>
  <c r="BQ71" i="1" s="1"/>
  <c r="BR34" i="1"/>
  <c r="BP71" i="1" s="1"/>
  <c r="BQ34" i="1"/>
  <c r="BO71" i="1" s="1"/>
  <c r="BP34" i="1"/>
  <c r="BO34" i="1"/>
  <c r="BT34" i="1"/>
  <c r="BK34" i="1"/>
  <c r="BK71" i="1" s="1"/>
  <c r="BG34" i="1"/>
  <c r="BI34" i="1"/>
  <c r="BI71" i="1" s="1"/>
  <c r="BX34" i="1"/>
  <c r="BV34" i="1"/>
  <c r="BW34" i="1"/>
  <c r="BH34" i="1"/>
  <c r="BH71" i="1" s="1"/>
  <c r="BL34" i="1"/>
  <c r="BL71" i="1" s="1"/>
  <c r="BJ34" i="1"/>
  <c r="BJ71" i="1" s="1"/>
  <c r="BU34" i="1"/>
  <c r="BR71" i="1" s="1"/>
  <c r="BM34" i="1"/>
  <c r="BM71" i="1" s="1"/>
  <c r="BN34" i="1"/>
  <c r="BY34" i="1"/>
  <c r="BS71" i="1" s="1"/>
  <c r="BF34" i="1"/>
  <c r="C17" i="1"/>
  <c r="BJ17" i="1"/>
  <c r="BJ54" i="1" s="1"/>
  <c r="BG17" i="1"/>
  <c r="AE17" i="1"/>
  <c r="BK17" i="1"/>
  <c r="BK54" i="1" s="1"/>
  <c r="BV17" i="1"/>
  <c r="BT17" i="1"/>
  <c r="BS17" i="1"/>
  <c r="BQ54" i="1" s="1"/>
  <c r="BW17" i="1"/>
  <c r="BN17" i="1"/>
  <c r="BO17" i="1"/>
  <c r="BX17" i="1"/>
  <c r="BR17" i="1"/>
  <c r="BP54" i="1" s="1"/>
  <c r="BQ17" i="1"/>
  <c r="BO54" i="1" s="1"/>
  <c r="BI17" i="1"/>
  <c r="BI54" i="1" s="1"/>
  <c r="BH17" i="1"/>
  <c r="BH54" i="1" s="1"/>
  <c r="BU17" i="1"/>
  <c r="BR54" i="1" s="1"/>
  <c r="BM17" i="1"/>
  <c r="BM54" i="1" s="1"/>
  <c r="BL17" i="1"/>
  <c r="BL54" i="1" s="1"/>
  <c r="BY17" i="1"/>
  <c r="BS54" i="1" s="1"/>
  <c r="BP17" i="1"/>
  <c r="BF17" i="1"/>
  <c r="C18" i="1"/>
  <c r="AE18" i="1"/>
  <c r="BP18" i="1"/>
  <c r="BV18" i="1"/>
  <c r="BL18" i="1"/>
  <c r="BL55" i="1" s="1"/>
  <c r="BK18" i="1"/>
  <c r="BK55" i="1" s="1"/>
  <c r="BY18" i="1"/>
  <c r="BS55" i="1" s="1"/>
  <c r="BX18" i="1"/>
  <c r="BW18" i="1"/>
  <c r="BI18" i="1"/>
  <c r="BI55" i="1" s="1"/>
  <c r="BO18" i="1"/>
  <c r="BF18" i="1"/>
  <c r="BH18" i="1"/>
  <c r="BH55" i="1" s="1"/>
  <c r="BR18" i="1"/>
  <c r="BP55" i="1" s="1"/>
  <c r="BT18" i="1"/>
  <c r="BQ18" i="1"/>
  <c r="BO55" i="1" s="1"/>
  <c r="BM18" i="1"/>
  <c r="BM55" i="1" s="1"/>
  <c r="BG18" i="1"/>
  <c r="BU18" i="1"/>
  <c r="BR55" i="1" s="1"/>
  <c r="BS18" i="1"/>
  <c r="BQ55" i="1" s="1"/>
  <c r="BN18" i="1"/>
  <c r="BJ18" i="1"/>
  <c r="BJ55" i="1" s="1"/>
  <c r="C16" i="1"/>
  <c r="BR16" i="1"/>
  <c r="BP53" i="1" s="1"/>
  <c r="BT16" i="1"/>
  <c r="BP16" i="1"/>
  <c r="BN16" i="1"/>
  <c r="AE16" i="1"/>
  <c r="BF16" i="1"/>
  <c r="BK16" i="1"/>
  <c r="BK53" i="1" s="1"/>
  <c r="BJ16" i="1"/>
  <c r="BJ53" i="1" s="1"/>
  <c r="BV16" i="1"/>
  <c r="BY16" i="1"/>
  <c r="BS53" i="1" s="1"/>
  <c r="BO16" i="1"/>
  <c r="BI16" i="1"/>
  <c r="BI53" i="1" s="1"/>
  <c r="BM16" i="1"/>
  <c r="BM53" i="1" s="1"/>
  <c r="BH16" i="1"/>
  <c r="BH53" i="1" s="1"/>
  <c r="BG16" i="1"/>
  <c r="BU16" i="1"/>
  <c r="BR53" i="1" s="1"/>
  <c r="BQ16" i="1"/>
  <c r="BO53" i="1" s="1"/>
  <c r="BS16" i="1"/>
  <c r="BQ53" i="1" s="1"/>
  <c r="BL16" i="1"/>
  <c r="BL53" i="1" s="1"/>
  <c r="BX16" i="1"/>
  <c r="BW16" i="1"/>
  <c r="CT35" i="1"/>
  <c r="CU28" i="1"/>
  <c r="BC17" i="1"/>
  <c r="BG27" i="1"/>
  <c r="CS13" i="1"/>
  <c r="BC29" i="1"/>
  <c r="BX24" i="1"/>
  <c r="BV24" i="1"/>
  <c r="BQ24" i="1"/>
  <c r="BO62" i="1" s="1"/>
  <c r="BV27" i="1"/>
  <c r="BI9" i="1"/>
  <c r="BI47" i="1" s="1"/>
  <c r="BW9" i="1"/>
  <c r="CS15" i="1"/>
  <c r="CN15" i="1"/>
  <c r="CO15" i="1" s="1"/>
  <c r="CT15" i="1"/>
  <c r="CR15" i="1"/>
  <c r="AE8" i="1"/>
  <c r="T46" i="1" s="1"/>
  <c r="BK8" i="1"/>
  <c r="BK46" i="1" s="1"/>
  <c r="BJ8" i="1"/>
  <c r="BJ46" i="1" s="1"/>
  <c r="BI8" i="1"/>
  <c r="BI46" i="1" s="1"/>
  <c r="BH8" i="1"/>
  <c r="BH46" i="1" s="1"/>
  <c r="BF8" i="1"/>
  <c r="BR8" i="1"/>
  <c r="BP46" i="1" s="1"/>
  <c r="BV8" i="1"/>
  <c r="BT8" i="1"/>
  <c r="BL8" i="1"/>
  <c r="BL46" i="1" s="1"/>
  <c r="C8" i="1"/>
  <c r="CS17" i="1"/>
  <c r="CT17" i="1"/>
  <c r="CR17" i="1"/>
  <c r="CN17" i="1"/>
  <c r="CO17" i="1" s="1"/>
  <c r="CL34" i="1"/>
  <c r="DC34" i="1" s="1"/>
  <c r="BS9" i="1"/>
  <c r="BQ47" i="1" s="1"/>
  <c r="BM9" i="1"/>
  <c r="BM47" i="1" s="1"/>
  <c r="AE26" i="1"/>
  <c r="U46" i="1" s="1"/>
  <c r="BT26" i="1"/>
  <c r="BW26" i="1"/>
  <c r="BU26" i="1"/>
  <c r="BR64" i="1" s="1"/>
  <c r="BH26" i="1"/>
  <c r="BH64" i="1" s="1"/>
  <c r="C26" i="1"/>
  <c r="BG26" i="1"/>
  <c r="C15" i="1"/>
  <c r="BR15" i="1"/>
  <c r="BP52" i="1" s="1"/>
  <c r="BQ15" i="1"/>
  <c r="BO52" i="1" s="1"/>
  <c r="BG15" i="1"/>
  <c r="AE15" i="1"/>
  <c r="T53" i="1" s="1"/>
  <c r="BW15" i="1"/>
  <c r="BS15" i="1"/>
  <c r="BQ52" i="1" s="1"/>
  <c r="CN8" i="1"/>
  <c r="CO8" i="1" s="1"/>
  <c r="CT8" i="1"/>
  <c r="CS8" i="1"/>
  <c r="CR8" i="1"/>
  <c r="BT13" i="1"/>
  <c r="BG13" i="1"/>
  <c r="BF13" i="1"/>
  <c r="AE13" i="1"/>
  <c r="T51" i="1" s="1"/>
  <c r="C13" i="1"/>
  <c r="BH13" i="1"/>
  <c r="BH51" i="1" s="1"/>
  <c r="BX13" i="1"/>
  <c r="BU13" i="1"/>
  <c r="BR51" i="1" s="1"/>
  <c r="BJ27" i="1"/>
  <c r="BJ65" i="1" s="1"/>
  <c r="BC11" i="1"/>
  <c r="BF15" i="1"/>
  <c r="CG36" i="1"/>
  <c r="CX36" i="1" s="1"/>
  <c r="CT26" i="1"/>
  <c r="BQ30" i="1"/>
  <c r="BO68" i="1" s="1"/>
  <c r="BV26" i="1"/>
  <c r="BC13" i="1"/>
  <c r="DF13" i="1"/>
  <c r="DE13" i="1"/>
  <c r="AE10" i="1"/>
  <c r="T48" i="1" s="1"/>
  <c r="C10" i="1"/>
  <c r="BF10" i="1"/>
  <c r="BT10" i="1"/>
  <c r="BO10" i="1"/>
  <c r="BR10" i="1"/>
  <c r="BP48" i="1" s="1"/>
  <c r="CN10" i="1"/>
  <c r="CO10" i="1" s="1"/>
  <c r="CT10" i="1"/>
  <c r="CS10" i="1"/>
  <c r="CR10" i="1"/>
  <c r="CN13" i="1"/>
  <c r="CO13" i="1" s="1"/>
  <c r="BO27" i="1"/>
  <c r="CG31" i="1"/>
  <c r="BW31" i="1"/>
  <c r="BV31" i="1"/>
  <c r="BQ26" i="1"/>
  <c r="BO64" i="1" s="1"/>
  <c r="BL24" i="1"/>
  <c r="BL62" i="1" s="1"/>
  <c r="BX27" i="1"/>
  <c r="BK35" i="1"/>
  <c r="BK72" i="1" s="1"/>
  <c r="BS26" i="1"/>
  <c r="BQ64" i="1" s="1"/>
  <c r="BY10" i="1"/>
  <c r="BS48" i="1" s="1"/>
  <c r="BR26" i="1"/>
  <c r="BP64" i="1" s="1"/>
  <c r="BQ9" i="1"/>
  <c r="BO47" i="1" s="1"/>
  <c r="BG10" i="1"/>
  <c r="BS27" i="1"/>
  <c r="BQ65" i="1" s="1"/>
  <c r="CT29" i="1"/>
  <c r="BI25" i="1"/>
  <c r="BI63" i="1" s="1"/>
  <c r="BN10" i="1"/>
  <c r="BM25" i="1"/>
  <c r="BM63" i="1" s="1"/>
  <c r="CR13" i="1"/>
  <c r="BO8" i="1"/>
  <c r="BX8" i="1"/>
  <c r="BK15" i="1"/>
  <c r="BK52" i="1" s="1"/>
  <c r="BN8" i="1"/>
  <c r="CS6" i="1"/>
  <c r="AE9" i="1"/>
  <c r="T47" i="1" s="1"/>
  <c r="BO9" i="1"/>
  <c r="C9" i="1"/>
  <c r="BJ9" i="1"/>
  <c r="BJ47" i="1" s="1"/>
  <c r="BK9" i="1"/>
  <c r="BK47" i="1" s="1"/>
  <c r="BL9" i="1"/>
  <c r="BL47" i="1" s="1"/>
  <c r="AE24" i="1"/>
  <c r="U44" i="1" s="1"/>
  <c r="C24" i="1"/>
  <c r="BW24" i="1"/>
  <c r="BJ24" i="1"/>
  <c r="BJ62" i="1" s="1"/>
  <c r="BK24" i="1"/>
  <c r="BK62" i="1" s="1"/>
  <c r="BI24" i="1"/>
  <c r="BI62" i="1" s="1"/>
  <c r="DE16" i="1"/>
  <c r="DF16" i="1"/>
  <c r="CT30" i="1"/>
  <c r="CT27" i="1"/>
  <c r="BY31" i="1"/>
  <c r="BS69" i="1" s="1"/>
  <c r="BI31" i="1"/>
  <c r="BI69" i="1" s="1"/>
  <c r="BC18" i="1"/>
  <c r="BI35" i="1"/>
  <c r="BI72" i="1" s="1"/>
  <c r="BO26" i="1"/>
  <c r="BR25" i="1"/>
  <c r="BP63" i="1" s="1"/>
  <c r="BP8" i="1"/>
  <c r="CN12" i="1"/>
  <c r="CO12" i="1" s="1"/>
  <c r="CT12" i="1"/>
  <c r="CS12" i="1"/>
  <c r="CR12" i="1"/>
  <c r="CT25" i="1"/>
  <c r="BU8" i="1"/>
  <c r="BR46" i="1" s="1"/>
  <c r="BX30" i="1"/>
  <c r="BV25" i="1"/>
  <c r="BQ8" i="1"/>
  <c r="BO46" i="1" s="1"/>
  <c r="BK26" i="1"/>
  <c r="BK64" i="1" s="1"/>
  <c r="BV9" i="1"/>
  <c r="BY6" i="1"/>
  <c r="BS44" i="1" s="1"/>
  <c r="BH9" i="1"/>
  <c r="BH47" i="1" s="1"/>
  <c r="BV10" i="1"/>
  <c r="BG14" i="1"/>
  <c r="BT14" i="1"/>
  <c r="DE6" i="1"/>
  <c r="DF6" i="1"/>
  <c r="CN5" i="1"/>
  <c r="CO5" i="1" s="1"/>
  <c r="CT5" i="1"/>
  <c r="CS5" i="1"/>
  <c r="CR5" i="1"/>
  <c r="C27" i="1"/>
  <c r="AE27" i="1"/>
  <c r="U47" i="1" s="1"/>
  <c r="BL27" i="1"/>
  <c r="BL65" i="1" s="1"/>
  <c r="BK27" i="1"/>
  <c r="BK65" i="1" s="1"/>
  <c r="BF30" i="1"/>
  <c r="BO13" i="1"/>
  <c r="BY24" i="1"/>
  <c r="BS62" i="1" s="1"/>
  <c r="C36" i="1"/>
  <c r="AE36" i="1"/>
  <c r="BP36" i="1"/>
  <c r="BW36" i="1"/>
  <c r="BV36" i="1"/>
  <c r="BU36" i="1"/>
  <c r="BR73" i="1" s="1"/>
  <c r="BQ36" i="1"/>
  <c r="BO73" i="1" s="1"/>
  <c r="C33" i="1"/>
  <c r="BC33" i="1"/>
  <c r="BI27" i="1"/>
  <c r="BI65" i="1" s="1"/>
  <c r="CL31" i="1"/>
  <c r="DC31" i="1" s="1"/>
  <c r="BP30" i="1"/>
  <c r="BG25" i="1"/>
  <c r="BO31" i="1"/>
  <c r="BN26" i="1"/>
  <c r="BU25" i="1"/>
  <c r="BR63" i="1" s="1"/>
  <c r="BC9" i="1"/>
  <c r="BT24" i="1"/>
  <c r="BN15" i="1"/>
  <c r="BU9" i="1"/>
  <c r="BR47" i="1" s="1"/>
  <c r="BS24" i="1"/>
  <c r="BQ62" i="1" s="1"/>
  <c r="CG26" i="1"/>
  <c r="CX26" i="1" s="1"/>
  <c r="BF24" i="1"/>
  <c r="BU6" i="1"/>
  <c r="BR44" i="1" s="1"/>
  <c r="BG45" i="1"/>
  <c r="BM6" i="1"/>
  <c r="BM44" i="1" s="1"/>
  <c r="CN9" i="1"/>
  <c r="CO9" i="1" s="1"/>
  <c r="CT9" i="1"/>
  <c r="CS9" i="1"/>
  <c r="CR9" i="1"/>
  <c r="BJ10" i="1"/>
  <c r="BJ48" i="1" s="1"/>
  <c r="BS14" i="1"/>
  <c r="BX9" i="1"/>
  <c r="CT14" i="1"/>
  <c r="CS14" i="1"/>
  <c r="CR14" i="1"/>
  <c r="CN14" i="1"/>
  <c r="CO14" i="1" s="1"/>
  <c r="CR6" i="1"/>
  <c r="BF9" i="1"/>
  <c r="BH27" i="1"/>
  <c r="BH65" i="1" s="1"/>
  <c r="CU31" i="1"/>
  <c r="BF36" i="1"/>
  <c r="BS35" i="1"/>
  <c r="BQ72" i="1" s="1"/>
  <c r="CG27" i="1"/>
  <c r="CX27" i="1" s="1"/>
  <c r="BX26" i="1"/>
  <c r="BK31" i="1"/>
  <c r="BK69" i="1" s="1"/>
  <c r="BI36" i="1"/>
  <c r="BI73" i="1" s="1"/>
  <c r="BU27" i="1"/>
  <c r="BR65" i="1" s="1"/>
  <c r="CG33" i="1"/>
  <c r="CX33" i="1" s="1"/>
  <c r="DE33" i="1" s="1"/>
  <c r="CU32" i="1"/>
  <c r="BY15" i="1"/>
  <c r="BS52" i="1" s="1"/>
  <c r="CG25" i="1"/>
  <c r="CX25" i="1" s="1"/>
  <c r="BP9" i="1"/>
  <c r="BR27" i="1"/>
  <c r="BP65" i="1" s="1"/>
  <c r="BG8" i="1"/>
  <c r="BY26" i="1"/>
  <c r="BS64" i="1" s="1"/>
  <c r="BN7" i="1"/>
  <c r="BL7" i="1"/>
  <c r="BL45" i="1" s="1"/>
  <c r="BI7" i="1"/>
  <c r="BI45" i="1" s="1"/>
  <c r="BX7" i="1"/>
  <c r="BQ7" i="1"/>
  <c r="BO45" i="1" s="1"/>
  <c r="AE7" i="1"/>
  <c r="T45" i="1" s="1"/>
  <c r="C7" i="1"/>
  <c r="BR7" i="1"/>
  <c r="BP45" i="1" s="1"/>
  <c r="BP7" i="1"/>
  <c r="BS5" i="1"/>
  <c r="BQ43" i="1" s="1"/>
  <c r="BG5" i="1"/>
  <c r="BR5" i="1"/>
  <c r="BP43" i="1" s="1"/>
  <c r="BF5" i="1"/>
  <c r="BP5" i="1"/>
  <c r="BN43" i="1" s="1"/>
  <c r="AE5" i="1"/>
  <c r="T43" i="1" s="1"/>
  <c r="C5" i="1"/>
  <c r="BV5" i="1"/>
  <c r="BU5" i="1"/>
  <c r="BR43" i="1" s="1"/>
  <c r="BT5" i="1"/>
  <c r="BJ5" i="1"/>
  <c r="BJ43" i="1" s="1"/>
  <c r="BI5" i="1"/>
  <c r="BI43" i="1" s="1"/>
  <c r="BH5" i="1"/>
  <c r="BH43" i="1" s="1"/>
  <c r="BC6" i="1"/>
  <c r="BM8" i="1"/>
  <c r="BM46" i="1" s="1"/>
  <c r="BG9" i="1"/>
  <c r="BU10" i="1"/>
  <c r="BR48" i="1" s="1"/>
  <c r="CN7" i="1"/>
  <c r="CO7" i="1" s="1"/>
  <c r="CN6" i="1"/>
  <c r="CO6" i="1" s="1"/>
  <c r="BY27" i="1"/>
  <c r="BS65" i="1" s="1"/>
  <c r="C30" i="1"/>
  <c r="AE30" i="1"/>
  <c r="U50" i="1" s="1"/>
  <c r="BW30" i="1"/>
  <c r="BS30" i="1"/>
  <c r="BQ68" i="1" s="1"/>
  <c r="BJ30" i="1"/>
  <c r="BJ68" i="1" s="1"/>
  <c r="BI30" i="1"/>
  <c r="BI68" i="1" s="1"/>
  <c r="BH30" i="1"/>
  <c r="BH68" i="1" s="1"/>
  <c r="BG30" i="1"/>
  <c r="CN11" i="1"/>
  <c r="CO11" i="1" s="1"/>
  <c r="CT11" i="1"/>
  <c r="CS11" i="1"/>
  <c r="CR11" i="1"/>
  <c r="BP27" i="1"/>
  <c r="CS16" i="1"/>
  <c r="CG23" i="1"/>
  <c r="AE35" i="1"/>
  <c r="BO35" i="1"/>
  <c r="BM35" i="1"/>
  <c r="BM72" i="1" s="1"/>
  <c r="BG35" i="1"/>
  <c r="BY35" i="1"/>
  <c r="BS72" i="1" s="1"/>
  <c r="C35" i="1"/>
  <c r="BW35" i="1"/>
  <c r="BV35" i="1"/>
  <c r="BU35" i="1"/>
  <c r="BR72" i="1" s="1"/>
  <c r="BT35" i="1"/>
  <c r="BR36" i="1"/>
  <c r="BP73" i="1" s="1"/>
  <c r="BL26" i="1"/>
  <c r="BL64" i="1" s="1"/>
  <c r="CG32" i="1"/>
  <c r="BX36" i="1"/>
  <c r="CT36" i="1"/>
  <c r="BF27" i="1"/>
  <c r="BQ27" i="1"/>
  <c r="BO65" i="1" s="1"/>
  <c r="BN24" i="1"/>
  <c r="BP26" i="1"/>
  <c r="BO6" i="1"/>
  <c r="BT15" i="1"/>
  <c r="BL25" i="1"/>
  <c r="BL63" i="1" s="1"/>
  <c r="BQ13" i="1"/>
  <c r="BO51" i="1" s="1"/>
  <c r="CL25" i="1"/>
  <c r="DC25" i="1" s="1"/>
  <c r="BX15" i="1"/>
  <c r="BX6" i="1"/>
  <c r="C14" i="1"/>
  <c r="AE14" i="1"/>
  <c r="T52" i="1" s="1"/>
  <c r="BW14" i="1"/>
  <c r="BR14" i="1"/>
  <c r="BN14" i="1"/>
  <c r="BK14" i="1"/>
  <c r="BP14" i="1"/>
  <c r="BF14" i="1"/>
  <c r="CR7" i="1"/>
  <c r="BN13" i="1"/>
  <c r="BL13" i="1"/>
  <c r="BL51" i="1" s="1"/>
  <c r="BR6" i="1"/>
  <c r="BP44" i="1" s="1"/>
  <c r="CG34" i="1"/>
  <c r="CG29" i="1"/>
  <c r="CX29" i="1" s="1"/>
  <c r="CL23" i="1"/>
  <c r="DC23" i="1" s="1"/>
  <c r="CL35" i="1"/>
  <c r="DC35" i="1" s="1"/>
  <c r="CL24" i="1"/>
  <c r="DC24" i="1" s="1"/>
  <c r="CL33" i="1"/>
  <c r="CL28" i="1"/>
  <c r="DC28" i="1" s="1"/>
  <c r="CG24" i="1"/>
  <c r="CX24" i="1" s="1"/>
  <c r="CG30" i="1"/>
  <c r="CX30" i="1" s="1"/>
  <c r="CL27" i="1"/>
  <c r="DC27" i="1" s="1"/>
  <c r="BR24" i="1"/>
  <c r="BP62" i="1" s="1"/>
  <c r="BR30" i="1"/>
  <c r="BP68" i="1" s="1"/>
  <c r="BN9" i="1"/>
  <c r="C31" i="1"/>
  <c r="BT31" i="1"/>
  <c r="BG31" i="1"/>
  <c r="BS31" i="1"/>
  <c r="BQ69" i="1" s="1"/>
  <c r="AE31" i="1"/>
  <c r="U51" i="1" s="1"/>
  <c r="BR31" i="1"/>
  <c r="BP69" i="1" s="1"/>
  <c r="BQ31" i="1"/>
  <c r="BO69" i="1" s="1"/>
  <c r="BP31" i="1"/>
  <c r="CG28" i="1"/>
  <c r="CX28" i="1" s="1"/>
  <c r="DE28" i="1" s="1"/>
  <c r="BO24" i="1"/>
  <c r="BH31" i="1"/>
  <c r="BH69" i="1" s="1"/>
  <c r="CT24" i="1"/>
  <c r="CL36" i="1"/>
  <c r="DC36" i="1" s="1"/>
  <c r="C25" i="1"/>
  <c r="AE25" i="1"/>
  <c r="U45" i="1" s="1"/>
  <c r="BU24" i="1"/>
  <c r="BR62" i="1" s="1"/>
  <c r="BL15" i="1"/>
  <c r="BL52" i="1" s="1"/>
  <c r="BL6" i="1"/>
  <c r="BL44" i="1" s="1"/>
  <c r="BW6" i="1"/>
  <c r="BI10" i="1"/>
  <c r="BI48" i="1" s="1"/>
  <c r="AE12" i="1"/>
  <c r="T50" i="1" s="1"/>
  <c r="BQ12" i="1"/>
  <c r="BO50" i="1" s="1"/>
  <c r="BT12" i="1"/>
  <c r="BG12" i="1"/>
  <c r="BG50" i="1" s="1"/>
  <c r="BU12" i="1"/>
  <c r="BR50" i="1" s="1"/>
  <c r="BX12" i="1"/>
  <c r="BS12" i="1"/>
  <c r="BQ50" i="1" s="1"/>
  <c r="BR12" i="1"/>
  <c r="BP50" i="1" s="1"/>
  <c r="C12" i="1"/>
  <c r="CN16" i="1"/>
  <c r="CO16" i="1" s="1"/>
  <c r="CL29" i="1"/>
  <c r="DC29" i="1" s="1"/>
  <c r="BN27" i="1"/>
  <c r="CL32" i="1"/>
  <c r="DC32" i="1" s="1"/>
  <c r="BJ36" i="1"/>
  <c r="BJ73" i="1" s="1"/>
  <c r="BH15" i="1"/>
  <c r="BH52" i="1" s="1"/>
  <c r="BV13" i="1"/>
  <c r="CS18" i="1"/>
  <c r="CT18" i="1"/>
  <c r="CR18" i="1"/>
  <c r="CN18" i="1"/>
  <c r="CO18" i="1" s="1"/>
  <c r="BP10" i="1"/>
  <c r="BH24" i="1"/>
  <c r="BH62" i="1" s="1"/>
  <c r="BM24" i="1"/>
  <c r="BM62" i="1" s="1"/>
  <c r="C6" i="1"/>
  <c r="BG6" i="1"/>
  <c r="AE6" i="1"/>
  <c r="T44" i="1" s="1"/>
  <c r="BH10" i="1"/>
  <c r="BH48" i="1" s="1"/>
  <c r="BT36" i="1"/>
  <c r="BS36" i="1"/>
  <c r="BQ73" i="1" s="1"/>
  <c r="BY30" i="1"/>
  <c r="BS68" i="1" s="1"/>
  <c r="S55" i="1"/>
  <c r="S57" i="1" s="1"/>
  <c r="R59" i="1"/>
  <c r="BV30" i="1"/>
  <c r="CG35" i="1"/>
  <c r="CX35" i="1" s="1"/>
  <c r="BG36" i="1"/>
  <c r="BT27" i="1"/>
  <c r="BU30" i="1"/>
  <c r="BR68" i="1" s="1"/>
  <c r="BN23" i="1"/>
  <c r="C23" i="1"/>
  <c r="BY23" i="1"/>
  <c r="BS61" i="1" s="1"/>
  <c r="AE23" i="1"/>
  <c r="U43" i="1" s="1"/>
  <c r="BL23" i="1"/>
  <c r="BL61" i="1" s="1"/>
  <c r="BK23" i="1"/>
  <c r="BK61" i="1" s="1"/>
  <c r="BT23" i="1"/>
  <c r="BS23" i="1"/>
  <c r="BQ61" i="1" s="1"/>
  <c r="BR23" i="1"/>
  <c r="BP61" i="1" s="1"/>
  <c r="BH23" i="1"/>
  <c r="BH61" i="1" s="1"/>
  <c r="BG23" i="1"/>
  <c r="BF23" i="1"/>
  <c r="BO23" i="1"/>
  <c r="AC20" i="1"/>
  <c r="AE20" i="1" s="1"/>
  <c r="BH35" i="1"/>
  <c r="BH72" i="1" s="1"/>
  <c r="BF25" i="1"/>
  <c r="BW13" i="1"/>
  <c r="BJ13" i="1"/>
  <c r="BJ51" i="1" s="1"/>
  <c r="BP24" i="1"/>
  <c r="BY9" i="1"/>
  <c r="BS47" i="1" s="1"/>
  <c r="BJ14" i="1"/>
  <c r="BO15" i="1"/>
  <c r="BU14" i="1"/>
  <c r="BN6" i="1"/>
  <c r="BP15" i="1"/>
  <c r="BS13" i="1"/>
  <c r="BQ51" i="1" s="1"/>
  <c r="BK6" i="1"/>
  <c r="BK44" i="1" s="1"/>
  <c r="BR9" i="1"/>
  <c r="BP47" i="1" s="1"/>
  <c r="DF7" i="1"/>
  <c r="DE7" i="1"/>
  <c r="BI6" i="1"/>
  <c r="BI44" i="1" s="1"/>
  <c r="BO12" i="1"/>
  <c r="BQ6" i="1"/>
  <c r="BO44" i="1" s="1"/>
  <c r="BT69" i="4" l="1"/>
  <c r="BN71" i="4"/>
  <c r="BN65" i="4"/>
  <c r="BN62" i="4"/>
  <c r="BN67" i="4"/>
  <c r="BN48" i="4"/>
  <c r="BN51" i="4"/>
  <c r="BT62" i="4"/>
  <c r="BT49" i="4"/>
  <c r="BT61" i="4"/>
  <c r="BN53" i="4"/>
  <c r="BN71" i="3"/>
  <c r="BN48" i="3"/>
  <c r="BI36" i="3"/>
  <c r="BI73" i="3" s="1"/>
  <c r="BF31" i="3"/>
  <c r="BG31" i="3"/>
  <c r="BM31" i="3"/>
  <c r="BM69" i="3" s="1"/>
  <c r="BQ31" i="3"/>
  <c r="BO69" i="3" s="1"/>
  <c r="BU31" i="3"/>
  <c r="BR69" i="3" s="1"/>
  <c r="BY31" i="3"/>
  <c r="BS69" i="3" s="1"/>
  <c r="BN70" i="3"/>
  <c r="BT63" i="3"/>
  <c r="BT68" i="3"/>
  <c r="BN36" i="3"/>
  <c r="BX36" i="3"/>
  <c r="BN64" i="3"/>
  <c r="BY36" i="3"/>
  <c r="BS73" i="3" s="1"/>
  <c r="CA14" i="3"/>
  <c r="BN51" i="3"/>
  <c r="BN49" i="3"/>
  <c r="BT45" i="3"/>
  <c r="BU45" i="3" s="1"/>
  <c r="BZ7" i="3"/>
  <c r="BT51" i="3"/>
  <c r="BN51" i="2"/>
  <c r="BT52" i="2"/>
  <c r="BT50" i="2"/>
  <c r="BT55" i="2"/>
  <c r="BG71" i="2"/>
  <c r="BT61" i="2"/>
  <c r="BZ32" i="2"/>
  <c r="CA23" i="2"/>
  <c r="CB23" i="2" s="1"/>
  <c r="BN53" i="2"/>
  <c r="BN61" i="2"/>
  <c r="BU61" i="2" s="1"/>
  <c r="BN72" i="2"/>
  <c r="BG67" i="2"/>
  <c r="BT67" i="2"/>
  <c r="BT64" i="2"/>
  <c r="BN54" i="2"/>
  <c r="BN72" i="1"/>
  <c r="DC33" i="1"/>
  <c r="DF33" i="1" s="1"/>
  <c r="BT61" i="1"/>
  <c r="BN49" i="1"/>
  <c r="BG72" i="1"/>
  <c r="BN63" i="1"/>
  <c r="BT45" i="1"/>
  <c r="BN69" i="1"/>
  <c r="DF28" i="1"/>
  <c r="CR25" i="1"/>
  <c r="CR24" i="1"/>
  <c r="BG69" i="1"/>
  <c r="BT44" i="1"/>
  <c r="BT47" i="1"/>
  <c r="BN53" i="1"/>
  <c r="BN44" i="1"/>
  <c r="BN54" i="1"/>
  <c r="BZ27" i="4"/>
  <c r="BN44" i="4"/>
  <c r="BT48" i="4"/>
  <c r="BT65" i="4"/>
  <c r="BT70" i="4"/>
  <c r="BT44" i="4"/>
  <c r="BT66" i="4"/>
  <c r="BN50" i="4"/>
  <c r="BN63" i="4"/>
  <c r="BN68" i="4"/>
  <c r="BN46" i="4"/>
  <c r="BT63" i="4"/>
  <c r="BT43" i="4"/>
  <c r="BN49" i="4"/>
  <c r="CA7" i="3"/>
  <c r="BT72" i="3"/>
  <c r="BW36" i="3"/>
  <c r="BV36" i="3"/>
  <c r="BO36" i="3"/>
  <c r="BZ14" i="3"/>
  <c r="BT36" i="3"/>
  <c r="BK36" i="3"/>
  <c r="BK73" i="3" s="1"/>
  <c r="BJ36" i="3"/>
  <c r="BJ73" i="3" s="1"/>
  <c r="BT52" i="3"/>
  <c r="BN67" i="3"/>
  <c r="BG36" i="3"/>
  <c r="BN65" i="3"/>
  <c r="BN69" i="3"/>
  <c r="BT66" i="3"/>
  <c r="BT46" i="3"/>
  <c r="BU36" i="3"/>
  <c r="BR73" i="3" s="1"/>
  <c r="BN53" i="3"/>
  <c r="BR36" i="3"/>
  <c r="BP73" i="3" s="1"/>
  <c r="BN52" i="3"/>
  <c r="BH36" i="3"/>
  <c r="BH73" i="3" s="1"/>
  <c r="BQ36" i="3"/>
  <c r="BO73" i="3" s="1"/>
  <c r="BT47" i="3"/>
  <c r="BF36" i="3"/>
  <c r="BG52" i="3"/>
  <c r="BP36" i="3"/>
  <c r="BN62" i="3"/>
  <c r="C36" i="3"/>
  <c r="BL36" i="3"/>
  <c r="BL73" i="3" s="1"/>
  <c r="BS36" i="3"/>
  <c r="BQ73" i="3" s="1"/>
  <c r="BM36" i="3"/>
  <c r="BM73" i="3" s="1"/>
  <c r="BN72" i="3"/>
  <c r="BT54" i="3"/>
  <c r="CA12" i="2"/>
  <c r="CB12" i="2" s="1"/>
  <c r="BT54" i="2"/>
  <c r="BZ24" i="2"/>
  <c r="BT45" i="2"/>
  <c r="BT44" i="2"/>
  <c r="BN67" i="2"/>
  <c r="BT68" i="2"/>
  <c r="BN49" i="2"/>
  <c r="BN52" i="2"/>
  <c r="CA24" i="2"/>
  <c r="CB24" i="2" s="1"/>
  <c r="BZ23" i="2"/>
  <c r="BT43" i="2"/>
  <c r="BT71" i="2"/>
  <c r="BN69" i="2"/>
  <c r="BN68" i="2"/>
  <c r="BN73" i="2"/>
  <c r="BT65" i="2"/>
  <c r="BN62" i="2"/>
  <c r="BZ12" i="1"/>
  <c r="BT68" i="1"/>
  <c r="CA26" i="1"/>
  <c r="CQ26" i="1" s="1"/>
  <c r="BZ7" i="1"/>
  <c r="CS36" i="1"/>
  <c r="CA7" i="1"/>
  <c r="CQ7" i="1" s="1"/>
  <c r="DH7" i="1" s="1"/>
  <c r="BN73" i="1"/>
  <c r="BN46" i="1"/>
  <c r="BT53" i="1"/>
  <c r="BN51" i="1"/>
  <c r="CR36" i="1"/>
  <c r="CN33" i="1"/>
  <c r="CO33" i="1" s="1"/>
  <c r="BT63" i="1"/>
  <c r="BN68" i="1"/>
  <c r="BN71" i="1"/>
  <c r="BT49" i="1"/>
  <c r="BT65" i="1"/>
  <c r="BT50" i="1"/>
  <c r="CS24" i="1"/>
  <c r="BT72" i="1"/>
  <c r="CN27" i="1"/>
  <c r="CO27" i="1" s="1"/>
  <c r="CR26" i="1"/>
  <c r="BT69" i="1"/>
  <c r="BT48" i="1"/>
  <c r="BZ6" i="1"/>
  <c r="BT43" i="1"/>
  <c r="CS33" i="1"/>
  <c r="CR29" i="1"/>
  <c r="CN26" i="1"/>
  <c r="CO26" i="1" s="1"/>
  <c r="CA5" i="4"/>
  <c r="CB5" i="4" s="1"/>
  <c r="BG43" i="4"/>
  <c r="BZ5" i="4"/>
  <c r="CA10" i="4"/>
  <c r="CB10" i="4" s="1"/>
  <c r="BG48" i="4"/>
  <c r="BZ10" i="4"/>
  <c r="D10" i="4"/>
  <c r="BG70" i="4"/>
  <c r="CA33" i="4"/>
  <c r="CB33" i="4" s="1"/>
  <c r="BZ33" i="4"/>
  <c r="D6" i="4"/>
  <c r="D27" i="4"/>
  <c r="D36" i="4"/>
  <c r="BZ31" i="4"/>
  <c r="CA31" i="4"/>
  <c r="CB31" i="4" s="1"/>
  <c r="BG69" i="4"/>
  <c r="BT68" i="4"/>
  <c r="CA25" i="4"/>
  <c r="CB25" i="4" s="1"/>
  <c r="BG63" i="4"/>
  <c r="BZ25" i="4"/>
  <c r="D35" i="4"/>
  <c r="BG51" i="4"/>
  <c r="CA13" i="4"/>
  <c r="CB13" i="4" s="1"/>
  <c r="BZ13" i="4"/>
  <c r="D18" i="4"/>
  <c r="D26" i="4"/>
  <c r="D29" i="4"/>
  <c r="D31" i="4"/>
  <c r="BG71" i="4"/>
  <c r="CA34" i="4"/>
  <c r="CB34" i="4" s="1"/>
  <c r="BZ34" i="4"/>
  <c r="BG65" i="4"/>
  <c r="BU65" i="4" s="1"/>
  <c r="D15" i="4"/>
  <c r="D28" i="4"/>
  <c r="CA32" i="4"/>
  <c r="BZ32" i="4"/>
  <c r="CA9" i="4"/>
  <c r="CB9" i="4" s="1"/>
  <c r="BZ9" i="4"/>
  <c r="BG47" i="4"/>
  <c r="V56" i="4"/>
  <c r="T56" i="4"/>
  <c r="D8" i="4"/>
  <c r="BT67" i="4"/>
  <c r="BU67" i="4" s="1"/>
  <c r="BN61" i="4"/>
  <c r="BN54" i="4"/>
  <c r="D33" i="4"/>
  <c r="BG49" i="4"/>
  <c r="CA11" i="4"/>
  <c r="CB11" i="4" s="1"/>
  <c r="BZ11" i="4"/>
  <c r="CB32" i="4"/>
  <c r="D7" i="4"/>
  <c r="D9" i="4"/>
  <c r="D25" i="4"/>
  <c r="BT72" i="4"/>
  <c r="BN73" i="4"/>
  <c r="CA24" i="4"/>
  <c r="CB24" i="4" s="1"/>
  <c r="BG62" i="4"/>
  <c r="BZ24" i="4"/>
  <c r="D34" i="4"/>
  <c r="D23" i="4"/>
  <c r="D17" i="4"/>
  <c r="BZ29" i="4"/>
  <c r="BG68" i="4"/>
  <c r="CA30" i="4"/>
  <c r="CB30" i="4" s="1"/>
  <c r="BZ30" i="4"/>
  <c r="D30" i="4"/>
  <c r="BT47" i="4"/>
  <c r="CA16" i="4"/>
  <c r="CB16" i="4" s="1"/>
  <c r="BG53" i="4"/>
  <c r="BU53" i="4" s="1"/>
  <c r="BZ16" i="4"/>
  <c r="BN69" i="4"/>
  <c r="BT54" i="4"/>
  <c r="BG52" i="4"/>
  <c r="CA15" i="4"/>
  <c r="CB15" i="4" s="1"/>
  <c r="BZ15" i="4"/>
  <c r="CA29" i="4"/>
  <c r="CB29" i="4" s="1"/>
  <c r="BN45" i="4"/>
  <c r="W55" i="4"/>
  <c r="U55" i="4"/>
  <c r="BT51" i="4"/>
  <c r="BN70" i="4"/>
  <c r="BG54" i="4"/>
  <c r="CA17" i="4"/>
  <c r="CB17" i="4" s="1"/>
  <c r="BZ17" i="4"/>
  <c r="T55" i="4"/>
  <c r="V55" i="4"/>
  <c r="D11" i="4"/>
  <c r="BG45" i="4"/>
  <c r="CA7" i="4"/>
  <c r="CB7" i="4" s="1"/>
  <c r="BZ7" i="4"/>
  <c r="BT46" i="4"/>
  <c r="CA6" i="4"/>
  <c r="CB6" i="4" s="1"/>
  <c r="BZ6" i="4"/>
  <c r="BG44" i="4"/>
  <c r="CA14" i="4"/>
  <c r="CB14" i="4" s="1"/>
  <c r="BZ14" i="4"/>
  <c r="BZ23" i="4"/>
  <c r="BG61" i="4"/>
  <c r="CA23" i="4"/>
  <c r="CB23" i="4" s="1"/>
  <c r="U54" i="4"/>
  <c r="W54" i="4"/>
  <c r="BG46" i="4"/>
  <c r="BZ8" i="4"/>
  <c r="CA8" i="4"/>
  <c r="CB8" i="4" s="1"/>
  <c r="BT64" i="4"/>
  <c r="D5" i="4"/>
  <c r="D24" i="4"/>
  <c r="W56" i="4"/>
  <c r="U56" i="4"/>
  <c r="BN66" i="4"/>
  <c r="BT45" i="4"/>
  <c r="CA18" i="4"/>
  <c r="CB18" i="4" s="1"/>
  <c r="BZ18" i="4"/>
  <c r="BG55" i="4"/>
  <c r="BT55" i="4"/>
  <c r="BN43" i="4"/>
  <c r="BT71" i="4"/>
  <c r="CA27" i="4"/>
  <c r="CB27" i="4" s="1"/>
  <c r="CA36" i="4"/>
  <c r="CB36" i="4" s="1"/>
  <c r="BZ36" i="4"/>
  <c r="BG73" i="4"/>
  <c r="BN52" i="4"/>
  <c r="T54" i="4"/>
  <c r="V54" i="4"/>
  <c r="BG50" i="4"/>
  <c r="CA12" i="4"/>
  <c r="CB12" i="4" s="1"/>
  <c r="BZ12" i="4"/>
  <c r="BT50" i="4"/>
  <c r="BN72" i="4"/>
  <c r="D13" i="4"/>
  <c r="BN55" i="4"/>
  <c r="BN64" i="4"/>
  <c r="BT73" i="4"/>
  <c r="BT53" i="4"/>
  <c r="D16" i="4"/>
  <c r="BT52" i="4"/>
  <c r="CA28" i="4"/>
  <c r="CB28" i="4" s="1"/>
  <c r="BZ28" i="4"/>
  <c r="BG66" i="4"/>
  <c r="BN47" i="4"/>
  <c r="D12" i="4"/>
  <c r="BZ35" i="4"/>
  <c r="CA35" i="4"/>
  <c r="CB35" i="4" s="1"/>
  <c r="BG72" i="4"/>
  <c r="CA26" i="4"/>
  <c r="CB26" i="4" s="1"/>
  <c r="BZ26" i="4"/>
  <c r="BG64" i="4"/>
  <c r="BG49" i="3"/>
  <c r="CA11" i="3"/>
  <c r="BZ11" i="3"/>
  <c r="D15" i="3"/>
  <c r="D29" i="3"/>
  <c r="CA32" i="3"/>
  <c r="BZ32" i="3"/>
  <c r="D6" i="3"/>
  <c r="D17" i="3"/>
  <c r="BG62" i="3"/>
  <c r="BZ24" i="3"/>
  <c r="CA24" i="3"/>
  <c r="BN47" i="3"/>
  <c r="BT71" i="3"/>
  <c r="D27" i="3"/>
  <c r="CA35" i="3"/>
  <c r="BG72" i="3"/>
  <c r="BZ35" i="3"/>
  <c r="D31" i="3"/>
  <c r="D33" i="3"/>
  <c r="BT61" i="3"/>
  <c r="CA6" i="3"/>
  <c r="BG44" i="3"/>
  <c r="BZ6" i="3"/>
  <c r="T55" i="3"/>
  <c r="V55" i="3"/>
  <c r="BG66" i="3"/>
  <c r="CA28" i="3"/>
  <c r="BZ28" i="3"/>
  <c r="D12" i="3"/>
  <c r="BT70" i="3"/>
  <c r="BN43" i="3"/>
  <c r="D11" i="3"/>
  <c r="D24" i="3"/>
  <c r="D9" i="3"/>
  <c r="D10" i="3"/>
  <c r="D35" i="3"/>
  <c r="BT53" i="3"/>
  <c r="BG53" i="3"/>
  <c r="CA16" i="3"/>
  <c r="BZ16" i="3"/>
  <c r="BZ15" i="3"/>
  <c r="BG48" i="3"/>
  <c r="BZ10" i="3"/>
  <c r="CA10" i="3"/>
  <c r="BG71" i="3"/>
  <c r="CA34" i="3"/>
  <c r="BZ34" i="3"/>
  <c r="U54" i="3"/>
  <c r="W54" i="3"/>
  <c r="CB14" i="3"/>
  <c r="CA33" i="3"/>
  <c r="BG70" i="3"/>
  <c r="BZ33" i="3"/>
  <c r="CA26" i="3"/>
  <c r="BZ26" i="3"/>
  <c r="BG64" i="3"/>
  <c r="BU64" i="3" s="1"/>
  <c r="BT67" i="3"/>
  <c r="D5" i="3"/>
  <c r="D13" i="3"/>
  <c r="CA30" i="3"/>
  <c r="AE18" i="3"/>
  <c r="T56" i="3" s="1"/>
  <c r="BQ18" i="3"/>
  <c r="BO55" i="3" s="1"/>
  <c r="BK18" i="3"/>
  <c r="BK55" i="3" s="1"/>
  <c r="BW18" i="3"/>
  <c r="BU18" i="3"/>
  <c r="BR55" i="3" s="1"/>
  <c r="BT18" i="3"/>
  <c r="BO18" i="3"/>
  <c r="BI18" i="3"/>
  <c r="BI55" i="3" s="1"/>
  <c r="BJ18" i="3"/>
  <c r="BJ55" i="3" s="1"/>
  <c r="BX18" i="3"/>
  <c r="BV18" i="3"/>
  <c r="BH18" i="3"/>
  <c r="BH55" i="3" s="1"/>
  <c r="BF18" i="3"/>
  <c r="BS18" i="3"/>
  <c r="BQ55" i="3" s="1"/>
  <c r="BN18" i="3"/>
  <c r="BY18" i="3"/>
  <c r="BS55" i="3" s="1"/>
  <c r="BR18" i="3"/>
  <c r="BP55" i="3" s="1"/>
  <c r="BM18" i="3"/>
  <c r="BM55" i="3" s="1"/>
  <c r="BP18" i="3"/>
  <c r="C18" i="3"/>
  <c r="BG18" i="3"/>
  <c r="BL18" i="3"/>
  <c r="BL55" i="3" s="1"/>
  <c r="BZ30" i="3"/>
  <c r="BG51" i="3"/>
  <c r="BZ13" i="3"/>
  <c r="CA13" i="3"/>
  <c r="BG54" i="3"/>
  <c r="CA17" i="3"/>
  <c r="BZ17" i="3"/>
  <c r="BG50" i="3"/>
  <c r="BU50" i="3" s="1"/>
  <c r="BZ12" i="3"/>
  <c r="CA12" i="3"/>
  <c r="BT65" i="3"/>
  <c r="BN63" i="3"/>
  <c r="BT43" i="3"/>
  <c r="D34" i="3"/>
  <c r="D23" i="3"/>
  <c r="BN54" i="3"/>
  <c r="BN61" i="3"/>
  <c r="D25" i="3"/>
  <c r="BG61" i="3"/>
  <c r="CA23" i="3"/>
  <c r="BZ23" i="3"/>
  <c r="BN68" i="3"/>
  <c r="BU68" i="3" s="1"/>
  <c r="CA15" i="3"/>
  <c r="BZ8" i="3"/>
  <c r="BG65" i="3"/>
  <c r="CA27" i="3"/>
  <c r="BZ27" i="3"/>
  <c r="BN46" i="3"/>
  <c r="BT49" i="3"/>
  <c r="W56" i="3"/>
  <c r="U56" i="3"/>
  <c r="U55" i="3"/>
  <c r="W55" i="3"/>
  <c r="BT62" i="3"/>
  <c r="BG47" i="3"/>
  <c r="BZ9" i="3"/>
  <c r="CA9" i="3"/>
  <c r="CA8" i="3"/>
  <c r="D26" i="3"/>
  <c r="BT44" i="3"/>
  <c r="CA29" i="3"/>
  <c r="BZ29" i="3"/>
  <c r="BG67" i="3"/>
  <c r="BG43" i="3"/>
  <c r="CA5" i="3"/>
  <c r="BZ5" i="3"/>
  <c r="BN44" i="3"/>
  <c r="D16" i="3"/>
  <c r="D8" i="3"/>
  <c r="BG63" i="3"/>
  <c r="BZ25" i="3"/>
  <c r="CA25" i="3"/>
  <c r="D30" i="3"/>
  <c r="BT48" i="3"/>
  <c r="CB7" i="3"/>
  <c r="BN66" i="3"/>
  <c r="D28" i="3"/>
  <c r="CA35" i="2"/>
  <c r="CB35" i="2" s="1"/>
  <c r="BZ35" i="2"/>
  <c r="BG72" i="2"/>
  <c r="BT46" i="2"/>
  <c r="D28" i="2"/>
  <c r="BG51" i="2"/>
  <c r="CA13" i="2"/>
  <c r="CB13" i="2" s="1"/>
  <c r="BZ13" i="2"/>
  <c r="W56" i="2"/>
  <c r="U56" i="2"/>
  <c r="D29" i="2"/>
  <c r="D8" i="2"/>
  <c r="BG63" i="2"/>
  <c r="CA25" i="2"/>
  <c r="CB25" i="2" s="1"/>
  <c r="BZ25" i="2"/>
  <c r="D18" i="2"/>
  <c r="BT49" i="2"/>
  <c r="D16" i="2"/>
  <c r="D30" i="2"/>
  <c r="BN45" i="2"/>
  <c r="CA32" i="2"/>
  <c r="CB32" i="2" s="1"/>
  <c r="BG46" i="2"/>
  <c r="CA8" i="2"/>
  <c r="CB8" i="2" s="1"/>
  <c r="BZ8" i="2"/>
  <c r="BN64" i="2"/>
  <c r="BU64" i="2" s="1"/>
  <c r="BT53" i="2"/>
  <c r="BN47" i="2"/>
  <c r="BT47" i="2"/>
  <c r="BN63" i="2"/>
  <c r="D35" i="2"/>
  <c r="D15" i="2"/>
  <c r="BT69" i="2"/>
  <c r="BN55" i="2"/>
  <c r="D12" i="2"/>
  <c r="BZ34" i="2"/>
  <c r="D25" i="2"/>
  <c r="T56" i="2"/>
  <c r="V56" i="2"/>
  <c r="BG49" i="2"/>
  <c r="BZ11" i="2"/>
  <c r="CA11" i="2"/>
  <c r="CB11" i="2" s="1"/>
  <c r="D31" i="2"/>
  <c r="V54" i="2"/>
  <c r="T54" i="2"/>
  <c r="CA27" i="2"/>
  <c r="CB27" i="2" s="1"/>
  <c r="BZ27" i="2"/>
  <c r="BG65" i="2"/>
  <c r="BG47" i="2"/>
  <c r="CA9" i="2"/>
  <c r="CB9" i="2" s="1"/>
  <c r="BZ9" i="2"/>
  <c r="CA34" i="2"/>
  <c r="CB34" i="2" s="1"/>
  <c r="BT72" i="2"/>
  <c r="D13" i="2"/>
  <c r="BG53" i="2"/>
  <c r="BZ16" i="2"/>
  <c r="CA16" i="2"/>
  <c r="CB16" i="2" s="1"/>
  <c r="BZ29" i="2"/>
  <c r="BN44" i="2"/>
  <c r="D36" i="2"/>
  <c r="D6" i="2"/>
  <c r="BN66" i="2"/>
  <c r="D7" i="2"/>
  <c r="BN46" i="2"/>
  <c r="W54" i="2"/>
  <c r="U54" i="2"/>
  <c r="BT70" i="2"/>
  <c r="BZ12" i="2"/>
  <c r="BT51" i="2"/>
  <c r="BZ14" i="2"/>
  <c r="CA14" i="2"/>
  <c r="CB14" i="2" s="1"/>
  <c r="BT62" i="2"/>
  <c r="BN65" i="2"/>
  <c r="BG45" i="2"/>
  <c r="BZ7" i="2"/>
  <c r="CA7" i="2"/>
  <c r="CB7" i="2" s="1"/>
  <c r="BN70" i="2"/>
  <c r="CA17" i="2"/>
  <c r="CB17" i="2" s="1"/>
  <c r="BG54" i="2"/>
  <c r="BZ17" i="2"/>
  <c r="BN71" i="2"/>
  <c r="CA29" i="2"/>
  <c r="CB29" i="2" s="1"/>
  <c r="D17" i="2"/>
  <c r="D27" i="2"/>
  <c r="BZ33" i="2"/>
  <c r="BG70" i="2"/>
  <c r="CA33" i="2"/>
  <c r="CB33" i="2" s="1"/>
  <c r="T55" i="2"/>
  <c r="V55" i="2"/>
  <c r="BG50" i="2"/>
  <c r="BG52" i="2"/>
  <c r="BZ15" i="2"/>
  <c r="CA15" i="2"/>
  <c r="CB15" i="2" s="1"/>
  <c r="BG68" i="2"/>
  <c r="CA30" i="2"/>
  <c r="CB30" i="2" s="1"/>
  <c r="BZ30" i="2"/>
  <c r="BT73" i="2"/>
  <c r="BZ26" i="2"/>
  <c r="BG43" i="2"/>
  <c r="BU43" i="2" s="1"/>
  <c r="CA5" i="2"/>
  <c r="CB5" i="2" s="1"/>
  <c r="BZ5" i="2"/>
  <c r="D9" i="2"/>
  <c r="BG44" i="2"/>
  <c r="CA6" i="2"/>
  <c r="CB6" i="2" s="1"/>
  <c r="BZ6" i="2"/>
  <c r="U55" i="2"/>
  <c r="W55" i="2"/>
  <c r="CA31" i="2"/>
  <c r="CB31" i="2" s="1"/>
  <c r="BZ31" i="2"/>
  <c r="BG69" i="2"/>
  <c r="D24" i="2"/>
  <c r="BG55" i="2"/>
  <c r="CA18" i="2"/>
  <c r="CB18" i="2" s="1"/>
  <c r="BZ18" i="2"/>
  <c r="D34" i="2"/>
  <c r="D11" i="2"/>
  <c r="D33" i="2"/>
  <c r="D26" i="2"/>
  <c r="BN50" i="2"/>
  <c r="D5" i="2"/>
  <c r="BZ36" i="2"/>
  <c r="CA36" i="2"/>
  <c r="CB36" i="2" s="1"/>
  <c r="BG73" i="2"/>
  <c r="AE10" i="2"/>
  <c r="T48" i="2" s="1"/>
  <c r="BQ10" i="2"/>
  <c r="BO48" i="2" s="1"/>
  <c r="C10" i="2"/>
  <c r="BI10" i="2"/>
  <c r="BI48" i="2" s="1"/>
  <c r="BV10" i="2"/>
  <c r="BO10" i="2"/>
  <c r="BP10" i="2"/>
  <c r="BN10" i="2"/>
  <c r="BN48" i="2" s="1"/>
  <c r="BM10" i="2"/>
  <c r="BM48" i="2" s="1"/>
  <c r="BU10" i="2"/>
  <c r="BR48" i="2" s="1"/>
  <c r="BT10" i="2"/>
  <c r="BG10" i="2"/>
  <c r="BH10" i="2"/>
  <c r="BH48" i="2" s="1"/>
  <c r="BS10" i="2"/>
  <c r="BQ48" i="2" s="1"/>
  <c r="BL10" i="2"/>
  <c r="BL48" i="2" s="1"/>
  <c r="BX10" i="2"/>
  <c r="BK10" i="2"/>
  <c r="BK48" i="2" s="1"/>
  <c r="BF10" i="2"/>
  <c r="BR10" i="2"/>
  <c r="BP48" i="2" s="1"/>
  <c r="BW10" i="2"/>
  <c r="BY10" i="2"/>
  <c r="BS48" i="2" s="1"/>
  <c r="BJ10" i="2"/>
  <c r="BJ48" i="2" s="1"/>
  <c r="BT66" i="2"/>
  <c r="BG66" i="2"/>
  <c r="CA28" i="2"/>
  <c r="CB28" i="2" s="1"/>
  <c r="BZ28" i="2"/>
  <c r="CA26" i="2"/>
  <c r="CB26" i="2" s="1"/>
  <c r="DH26" i="1"/>
  <c r="CA12" i="1"/>
  <c r="CQ12" i="1" s="1"/>
  <c r="DF8" i="1"/>
  <c r="DE8" i="1"/>
  <c r="BZ26" i="1"/>
  <c r="D27" i="1"/>
  <c r="D26" i="1"/>
  <c r="DE17" i="1"/>
  <c r="DF17" i="1"/>
  <c r="BG64" i="1"/>
  <c r="D12" i="1"/>
  <c r="BN47" i="1"/>
  <c r="CX34" i="1"/>
  <c r="CR34" i="1"/>
  <c r="CS34" i="1"/>
  <c r="CN34" i="1"/>
  <c r="CO34" i="1" s="1"/>
  <c r="CS29" i="1"/>
  <c r="CA16" i="1"/>
  <c r="CQ16" i="1" s="1"/>
  <c r="BG53" i="1"/>
  <c r="BZ16" i="1"/>
  <c r="V55" i="1"/>
  <c r="T55" i="1"/>
  <c r="D30" i="1"/>
  <c r="DF29" i="1"/>
  <c r="DE29" i="1"/>
  <c r="D8" i="1"/>
  <c r="CA31" i="1"/>
  <c r="CQ31" i="1" s="1"/>
  <c r="V54" i="1"/>
  <c r="T54" i="1"/>
  <c r="W54" i="1"/>
  <c r="U54" i="1"/>
  <c r="BN70" i="1"/>
  <c r="CA6" i="1"/>
  <c r="CQ6" i="1" s="1"/>
  <c r="BG65" i="1"/>
  <c r="CA27" i="1"/>
  <c r="CQ27" i="1" s="1"/>
  <c r="BZ27" i="1"/>
  <c r="D24" i="1"/>
  <c r="D13" i="1"/>
  <c r="DE15" i="1"/>
  <c r="DF15" i="1"/>
  <c r="BZ31" i="1"/>
  <c r="BT55" i="1"/>
  <c r="D34" i="1"/>
  <c r="BG44" i="1"/>
  <c r="BN65" i="1"/>
  <c r="CN36" i="1"/>
  <c r="CO36" i="1" s="1"/>
  <c r="CB35" i="1"/>
  <c r="D35" i="1"/>
  <c r="DF11" i="1"/>
  <c r="DE11" i="1"/>
  <c r="D5" i="1"/>
  <c r="CR33" i="1"/>
  <c r="BG73" i="1"/>
  <c r="CA36" i="1"/>
  <c r="CQ36" i="1" s="1"/>
  <c r="BZ36" i="1"/>
  <c r="D36" i="1"/>
  <c r="CR28" i="1"/>
  <c r="BG48" i="1"/>
  <c r="BZ10" i="1"/>
  <c r="CA10" i="1"/>
  <c r="CQ10" i="1" s="1"/>
  <c r="CS26" i="1"/>
  <c r="BT64" i="1"/>
  <c r="BT46" i="1"/>
  <c r="CR35" i="1"/>
  <c r="T56" i="1"/>
  <c r="V56" i="1"/>
  <c r="BN67" i="1"/>
  <c r="BN62" i="1"/>
  <c r="BG66" i="1"/>
  <c r="CA28" i="1"/>
  <c r="CQ28" i="1" s="1"/>
  <c r="BZ28" i="1"/>
  <c r="D6" i="1"/>
  <c r="D28" i="1"/>
  <c r="DF5" i="1"/>
  <c r="DE5" i="1"/>
  <c r="CX31" i="1"/>
  <c r="CS31" i="1"/>
  <c r="D25" i="1"/>
  <c r="CS32" i="1"/>
  <c r="CR31" i="1"/>
  <c r="CR30" i="1"/>
  <c r="D10" i="1"/>
  <c r="BG51" i="1"/>
  <c r="BZ13" i="1"/>
  <c r="CA13" i="1"/>
  <c r="CQ13" i="1" s="1"/>
  <c r="CS35" i="1"/>
  <c r="D18" i="1"/>
  <c r="D17" i="1"/>
  <c r="CX23" i="1"/>
  <c r="CN23" i="1"/>
  <c r="CO23" i="1" s="1"/>
  <c r="CS23" i="1"/>
  <c r="CR23" i="1"/>
  <c r="CA29" i="1"/>
  <c r="CQ29" i="1" s="1"/>
  <c r="BZ29" i="1"/>
  <c r="BG67" i="1"/>
  <c r="BG62" i="1"/>
  <c r="CA24" i="1"/>
  <c r="CQ24" i="1" s="1"/>
  <c r="BZ24" i="1"/>
  <c r="DF12" i="1"/>
  <c r="DE12" i="1"/>
  <c r="D23" i="1"/>
  <c r="DF36" i="1"/>
  <c r="DE36" i="1"/>
  <c r="CS30" i="1"/>
  <c r="DF26" i="1"/>
  <c r="DE26" i="1"/>
  <c r="DF35" i="1"/>
  <c r="DE35" i="1"/>
  <c r="BG55" i="1"/>
  <c r="CA18" i="1"/>
  <c r="CQ18" i="1" s="1"/>
  <c r="BZ18" i="1"/>
  <c r="BZ34" i="1"/>
  <c r="CA34" i="1"/>
  <c r="CQ34" i="1" s="1"/>
  <c r="BG71" i="1"/>
  <c r="BT67" i="1"/>
  <c r="D7" i="1"/>
  <c r="CS27" i="1"/>
  <c r="BN61" i="1"/>
  <c r="BZ35" i="1"/>
  <c r="CA14" i="1"/>
  <c r="CQ14" i="1" s="1"/>
  <c r="BZ14" i="1"/>
  <c r="BN50" i="1"/>
  <c r="BN52" i="1"/>
  <c r="CS28" i="1"/>
  <c r="BG68" i="1"/>
  <c r="CA30" i="1"/>
  <c r="CQ30" i="1" s="1"/>
  <c r="BZ30" i="1"/>
  <c r="DE30" i="1"/>
  <c r="DF30" i="1"/>
  <c r="BT51" i="1"/>
  <c r="BG46" i="1"/>
  <c r="BZ8" i="1"/>
  <c r="CA8" i="1"/>
  <c r="CQ8" i="1" s="1"/>
  <c r="CN35" i="1"/>
  <c r="CO35" i="1" s="1"/>
  <c r="D16" i="1"/>
  <c r="BG54" i="1"/>
  <c r="CA17" i="1"/>
  <c r="CQ17" i="1" s="1"/>
  <c r="BZ17" i="1"/>
  <c r="BT66" i="1"/>
  <c r="D11" i="1"/>
  <c r="D29" i="1"/>
  <c r="BT70" i="1"/>
  <c r="D31" i="1"/>
  <c r="DE27" i="1"/>
  <c r="DF27" i="1"/>
  <c r="BG61" i="1"/>
  <c r="BZ23" i="1"/>
  <c r="CA23" i="1"/>
  <c r="CQ23" i="1" s="1"/>
  <c r="CN31" i="1"/>
  <c r="CO31" i="1" s="1"/>
  <c r="BT73" i="1"/>
  <c r="CA35" i="1"/>
  <c r="CQ35" i="1" s="1"/>
  <c r="BG43" i="1"/>
  <c r="CA5" i="1"/>
  <c r="CQ5" i="1" s="1"/>
  <c r="BZ5" i="1"/>
  <c r="DE9" i="1"/>
  <c r="DF9" i="1"/>
  <c r="BT62" i="1"/>
  <c r="D33" i="1"/>
  <c r="CN30" i="1"/>
  <c r="CO30" i="1" s="1"/>
  <c r="DF10" i="1"/>
  <c r="DE10" i="1"/>
  <c r="D15" i="1"/>
  <c r="CN28" i="1"/>
  <c r="CO28" i="1" s="1"/>
  <c r="BT71" i="1"/>
  <c r="BN64" i="1"/>
  <c r="DF25" i="1"/>
  <c r="DE25" i="1"/>
  <c r="DF14" i="1"/>
  <c r="DE14" i="1"/>
  <c r="BG63" i="1"/>
  <c r="CA25" i="1"/>
  <c r="CQ25" i="1" s="1"/>
  <c r="BZ25" i="1"/>
  <c r="CN32" i="1"/>
  <c r="CO32" i="1" s="1"/>
  <c r="DF24" i="1"/>
  <c r="DE24" i="1"/>
  <c r="BT52" i="1"/>
  <c r="CX32" i="1"/>
  <c r="DE32" i="1" s="1"/>
  <c r="CR32" i="1"/>
  <c r="W55" i="1"/>
  <c r="U55" i="1"/>
  <c r="BN45" i="1"/>
  <c r="BG47" i="1"/>
  <c r="BZ9" i="1"/>
  <c r="CA9" i="1"/>
  <c r="CQ9" i="1" s="1"/>
  <c r="CS25" i="1"/>
  <c r="BN48" i="1"/>
  <c r="BG52" i="1"/>
  <c r="CA15" i="1"/>
  <c r="CQ15" i="1" s="1"/>
  <c r="BZ15" i="1"/>
  <c r="BN55" i="1"/>
  <c r="CA32" i="1"/>
  <c r="CQ32" i="1" s="1"/>
  <c r="BZ32" i="1"/>
  <c r="BG49" i="1"/>
  <c r="BZ11" i="1"/>
  <c r="CA11" i="1"/>
  <c r="CQ11" i="1" s="1"/>
  <c r="CN29" i="1"/>
  <c r="CO29" i="1" s="1"/>
  <c r="CR27" i="1"/>
  <c r="U56" i="1"/>
  <c r="W56" i="1"/>
  <c r="DE18" i="1"/>
  <c r="DF18" i="1"/>
  <c r="CN24" i="1"/>
  <c r="CO24" i="1" s="1"/>
  <c r="CN25" i="1"/>
  <c r="CO25" i="1" s="1"/>
  <c r="D9" i="1"/>
  <c r="BT54" i="1"/>
  <c r="BN66" i="1"/>
  <c r="BG70" i="1"/>
  <c r="CA33" i="1"/>
  <c r="CQ33" i="1" s="1"/>
  <c r="BZ33" i="1"/>
  <c r="BU48" i="4" l="1"/>
  <c r="BU62" i="4"/>
  <c r="BU49" i="4"/>
  <c r="BU68" i="4"/>
  <c r="BU69" i="4"/>
  <c r="CA31" i="3"/>
  <c r="BU51" i="3"/>
  <c r="BN73" i="3"/>
  <c r="BU70" i="3"/>
  <c r="BU48" i="3"/>
  <c r="CB6" i="3"/>
  <c r="CB32" i="3"/>
  <c r="BG69" i="3"/>
  <c r="BU69" i="3" s="1"/>
  <c r="BZ31" i="3"/>
  <c r="CB29" i="3"/>
  <c r="BU62" i="3"/>
  <c r="BG73" i="3"/>
  <c r="BU71" i="3"/>
  <c r="BU72" i="3"/>
  <c r="BU43" i="3"/>
  <c r="CB13" i="3"/>
  <c r="CB10" i="3"/>
  <c r="BU47" i="3"/>
  <c r="BU53" i="3"/>
  <c r="BU44" i="2"/>
  <c r="BU51" i="2"/>
  <c r="BU67" i="2"/>
  <c r="BU68" i="2"/>
  <c r="BU54" i="2"/>
  <c r="BU72" i="1"/>
  <c r="CB16" i="1"/>
  <c r="BU63" i="1"/>
  <c r="BU69" i="1"/>
  <c r="CB13" i="1"/>
  <c r="BU68" i="1"/>
  <c r="CB26" i="1"/>
  <c r="CB23" i="1"/>
  <c r="BU67" i="1"/>
  <c r="CB24" i="1"/>
  <c r="CB7" i="1"/>
  <c r="CB6" i="1"/>
  <c r="DG7" i="1"/>
  <c r="DJ7" i="1" s="1"/>
  <c r="BU61" i="4"/>
  <c r="BU43" i="4"/>
  <c r="BU44" i="4"/>
  <c r="BU71" i="4"/>
  <c r="BU63" i="4"/>
  <c r="BU50" i="4"/>
  <c r="BU54" i="4"/>
  <c r="BU72" i="4"/>
  <c r="CB30" i="3"/>
  <c r="BU67" i="3"/>
  <c r="CB17" i="3"/>
  <c r="BT73" i="3"/>
  <c r="BU65" i="3"/>
  <c r="CB26" i="3"/>
  <c r="CB12" i="3"/>
  <c r="BZ36" i="3"/>
  <c r="CA36" i="3"/>
  <c r="D36" i="3"/>
  <c r="BU46" i="3"/>
  <c r="CB34" i="3"/>
  <c r="BU54" i="3"/>
  <c r="BU52" i="3"/>
  <c r="BU70" i="2"/>
  <c r="BU45" i="2"/>
  <c r="BU62" i="2"/>
  <c r="BU71" i="2"/>
  <c r="BU66" i="2"/>
  <c r="BT48" i="2"/>
  <c r="BU63" i="2"/>
  <c r="BU52" i="2"/>
  <c r="CB25" i="1"/>
  <c r="CB36" i="1"/>
  <c r="BU66" i="1"/>
  <c r="DG26" i="1"/>
  <c r="DJ26" i="1" s="1"/>
  <c r="CB18" i="1"/>
  <c r="CB8" i="1"/>
  <c r="CB12" i="1"/>
  <c r="DF32" i="1"/>
  <c r="DG32" i="1" s="1"/>
  <c r="BU45" i="1"/>
  <c r="BU50" i="1"/>
  <c r="BU71" i="1"/>
  <c r="CB9" i="1"/>
  <c r="CB33" i="1"/>
  <c r="BU61" i="1"/>
  <c r="CB14" i="1"/>
  <c r="BU46" i="4"/>
  <c r="BU51" i="4"/>
  <c r="BU66" i="4"/>
  <c r="BU52" i="4"/>
  <c r="BU70" i="4"/>
  <c r="BU64" i="4"/>
  <c r="BU55" i="4"/>
  <c r="BU73" i="4"/>
  <c r="BU45" i="4"/>
  <c r="BU47" i="4"/>
  <c r="CB15" i="3"/>
  <c r="BU63" i="3"/>
  <c r="CB24" i="3"/>
  <c r="BU66" i="3"/>
  <c r="D18" i="3"/>
  <c r="BT55" i="3"/>
  <c r="CB5" i="3"/>
  <c r="CB31" i="3"/>
  <c r="CB8" i="3"/>
  <c r="CB25" i="3"/>
  <c r="BN55" i="3"/>
  <c r="CB23" i="3"/>
  <c r="BU49" i="3"/>
  <c r="CB33" i="3"/>
  <c r="BU61" i="3"/>
  <c r="CB16" i="3"/>
  <c r="BG55" i="3"/>
  <c r="CA18" i="3"/>
  <c r="BZ18" i="3"/>
  <c r="CB11" i="3"/>
  <c r="CB27" i="3"/>
  <c r="CB28" i="3"/>
  <c r="BU44" i="3"/>
  <c r="CB9" i="3"/>
  <c r="CB35" i="3"/>
  <c r="BU53" i="2"/>
  <c r="BU46" i="2"/>
  <c r="BU55" i="2"/>
  <c r="BU49" i="2"/>
  <c r="D10" i="2"/>
  <c r="BU73" i="2"/>
  <c r="BU50" i="2"/>
  <c r="BU72" i="2"/>
  <c r="BG48" i="2"/>
  <c r="CA10" i="2"/>
  <c r="CB10" i="2" s="1"/>
  <c r="BZ10" i="2"/>
  <c r="BU47" i="2"/>
  <c r="BU69" i="2"/>
  <c r="BU65" i="2"/>
  <c r="DH32" i="1"/>
  <c r="DG30" i="1"/>
  <c r="DH30" i="1"/>
  <c r="BU54" i="1"/>
  <c r="DH15" i="1"/>
  <c r="DG15" i="1"/>
  <c r="DH34" i="1"/>
  <c r="DE31" i="1"/>
  <c r="DF31" i="1"/>
  <c r="CB31" i="1"/>
  <c r="DG13" i="1"/>
  <c r="DH13" i="1"/>
  <c r="DH36" i="1"/>
  <c r="DG36" i="1"/>
  <c r="CB34" i="1"/>
  <c r="BU65" i="1"/>
  <c r="CB27" i="1"/>
  <c r="DG5" i="1"/>
  <c r="DH5" i="1"/>
  <c r="DI7" i="1"/>
  <c r="BU73" i="1"/>
  <c r="DH6" i="1"/>
  <c r="DG6" i="1"/>
  <c r="CB30" i="1"/>
  <c r="DG18" i="1"/>
  <c r="DH18" i="1"/>
  <c r="BU51" i="1"/>
  <c r="CB28" i="1"/>
  <c r="DE34" i="1"/>
  <c r="DF34" i="1"/>
  <c r="DH17" i="1"/>
  <c r="DG17" i="1"/>
  <c r="BU70" i="1"/>
  <c r="DH9" i="1"/>
  <c r="DG9" i="1"/>
  <c r="CB15" i="1"/>
  <c r="DH35" i="1"/>
  <c r="DG35" i="1"/>
  <c r="DH14" i="1"/>
  <c r="DG14" i="1"/>
  <c r="BU55" i="1"/>
  <c r="BU43" i="1"/>
  <c r="DG11" i="1"/>
  <c r="DH11" i="1"/>
  <c r="CB29" i="1"/>
  <c r="BU46" i="1"/>
  <c r="CB10" i="1"/>
  <c r="CB5" i="1"/>
  <c r="DG27" i="1"/>
  <c r="DH27" i="1"/>
  <c r="DG33" i="1"/>
  <c r="DH33" i="1"/>
  <c r="DH25" i="1"/>
  <c r="DG25" i="1"/>
  <c r="DH10" i="1"/>
  <c r="DG10" i="1"/>
  <c r="BU53" i="1"/>
  <c r="DG12" i="1"/>
  <c r="DH12" i="1"/>
  <c r="DH29" i="1"/>
  <c r="DG29" i="1"/>
  <c r="BU44" i="1"/>
  <c r="BU52" i="1"/>
  <c r="DH8" i="1"/>
  <c r="DG8" i="1"/>
  <c r="BU47" i="1"/>
  <c r="BU49" i="1"/>
  <c r="DH23" i="1"/>
  <c r="CB11" i="1"/>
  <c r="DH24" i="1"/>
  <c r="DG24" i="1"/>
  <c r="DF23" i="1"/>
  <c r="DE23" i="1"/>
  <c r="DG16" i="1"/>
  <c r="DH16" i="1"/>
  <c r="CB32" i="1"/>
  <c r="BU62" i="1"/>
  <c r="CB17" i="1"/>
  <c r="DH28" i="1"/>
  <c r="DG28" i="1"/>
  <c r="BU48" i="1"/>
  <c r="DH31" i="1"/>
  <c r="BU64" i="1"/>
  <c r="BU73" i="3" l="1"/>
  <c r="DG23" i="1"/>
  <c r="DJ23" i="1" s="1"/>
  <c r="CB18" i="3"/>
  <c r="CB36" i="3"/>
  <c r="BU48" i="2"/>
  <c r="DG31" i="1"/>
  <c r="DJ31" i="1" s="1"/>
  <c r="DG34" i="1"/>
  <c r="DJ34" i="1" s="1"/>
  <c r="DI26" i="1"/>
  <c r="BU55" i="3"/>
  <c r="DJ24" i="1"/>
  <c r="DI24" i="1"/>
  <c r="DJ33" i="1"/>
  <c r="DI33" i="1"/>
  <c r="DJ27" i="1"/>
  <c r="DI27" i="1"/>
  <c r="DJ5" i="1"/>
  <c r="DI5" i="1"/>
  <c r="DJ28" i="1"/>
  <c r="DI28" i="1"/>
  <c r="DJ15" i="1"/>
  <c r="DI15" i="1"/>
  <c r="DJ35" i="1"/>
  <c r="DI35" i="1"/>
  <c r="DJ18" i="1"/>
  <c r="DI18" i="1"/>
  <c r="DJ17" i="1"/>
  <c r="DI17" i="1"/>
  <c r="DJ29" i="1"/>
  <c r="DI29" i="1"/>
  <c r="DJ16" i="1"/>
  <c r="DI16" i="1"/>
  <c r="DJ36" i="1"/>
  <c r="DI36" i="1"/>
  <c r="DJ30" i="1"/>
  <c r="DI30" i="1"/>
  <c r="DI14" i="1"/>
  <c r="DJ14" i="1"/>
  <c r="DJ8" i="1"/>
  <c r="DI8" i="1"/>
  <c r="DJ10" i="1"/>
  <c r="DI10" i="1"/>
  <c r="DJ11" i="1"/>
  <c r="DI11" i="1"/>
  <c r="DJ9" i="1"/>
  <c r="DI9" i="1"/>
  <c r="DJ13" i="1"/>
  <c r="DI13" i="1"/>
  <c r="DJ12" i="1"/>
  <c r="DI12" i="1"/>
  <c r="DJ6" i="1"/>
  <c r="DI6" i="1"/>
  <c r="DI25" i="1"/>
  <c r="DJ25" i="1"/>
  <c r="DJ32" i="1"/>
  <c r="DI32" i="1"/>
  <c r="DI31" i="1" l="1"/>
  <c r="DI34" i="1"/>
  <c r="DI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Schipper, Peter</author>
  </authors>
  <commentList>
    <comment ref="CD1" authorId="0" shapeId="0" xr:uid="{7D73EFD0-C974-4330-8833-51E6AD866348}">
      <text>
        <r>
          <rPr>
            <sz val="9"/>
            <color indexed="81"/>
            <rFont val="Tahoma"/>
            <family val="2"/>
          </rPr>
          <t>voor de NOP +/- 20%
Voor ZOF -10 / +30% (model onderschat de kwel 30%, en overschat de kwel met 10%)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Schipper, Peter</author>
  </authors>
  <commentList>
    <comment ref="Z37" authorId="0" shapeId="0" xr:uid="{7E8CD11C-BD3F-487B-83D9-66BCB13CD64A}">
      <text>
        <r>
          <rPr>
            <b/>
            <sz val="9"/>
            <color indexed="81"/>
            <rFont val="Tahoma"/>
            <family val="2"/>
          </rPr>
          <t xml:space="preserve">Mattijs
</t>
        </r>
        <r>
          <rPr>
            <sz val="9"/>
            <color indexed="81"/>
            <rFont val="Tahoma"/>
            <family val="2"/>
          </rPr>
          <t xml:space="preserve">Het aandeel achtergrond in fractie van het ingelaten IJsselmeerwater is als volgt:
Stikstof jaarlijks: 0.58
Stikstof zomer: 0.61
Fosfor jaarlijks: 0.45
Fosfor zomer: 0.32
</t>
        </r>
      </text>
    </comment>
    <comment ref="Z38" authorId="0" shapeId="0" xr:uid="{0A304E6C-15B0-4AE1-B7B1-EE5609B2640E}">
      <text>
        <r>
          <rPr>
            <b/>
            <sz val="9"/>
            <color indexed="81"/>
            <rFont val="Tahoma"/>
            <family val="2"/>
          </rPr>
          <t xml:space="preserve">Voor de NOP wordt door het waterschap inlaat ijsselmeerwater als achtergrond beschouwd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Schipper, Peter</author>
  </authors>
  <commentList>
    <comment ref="Z20" authorId="0" shapeId="0" xr:uid="{B80E1D04-A7E2-413F-9F12-AABB83EA65FD}">
      <text>
        <r>
          <rPr>
            <b/>
            <sz val="9"/>
            <color indexed="81"/>
            <rFont val="Tahoma"/>
            <family val="2"/>
          </rPr>
          <t xml:space="preserve">Voor de NOP wordt door het waterschap inlaat ijsselmeerwater als achtergrond beschouwd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8" authorId="0" shapeId="0" xr:uid="{A2E8EDFC-DF6E-446E-9903-A569394C507A}">
      <text>
        <r>
          <rPr>
            <b/>
            <sz val="9"/>
            <color indexed="81"/>
            <rFont val="Tahoma"/>
            <family val="2"/>
          </rPr>
          <t xml:space="preserve">Voor de NOP wordt door het waterschap inlaat ijsselmeerwater als achtergrond beschouwd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3" authorId="0" shapeId="0" xr:uid="{42739B61-D2FA-4CF3-B950-4D3F621718E3}">
      <text>
        <r>
          <rPr>
            <b/>
            <sz val="9"/>
            <color indexed="81"/>
            <rFont val="Tahoma"/>
            <family val="2"/>
          </rPr>
          <t>Schipper, Peter:</t>
        </r>
        <r>
          <rPr>
            <sz val="9"/>
            <color indexed="81"/>
            <rFont val="Tahoma"/>
            <family val="2"/>
          </rPr>
          <t xml:space="preserve">
zomerafvoer regenwaterriolen berekend uitgaande van gemiddelde concentratie 3,55 mgN/l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Schipper, Peter</author>
  </authors>
  <commentList>
    <comment ref="Z20" authorId="0" shapeId="0" xr:uid="{006EF530-08BE-4445-80F1-9B7CB9B22691}">
      <text>
        <r>
          <rPr>
            <b/>
            <sz val="9"/>
            <color indexed="81"/>
            <rFont val="Tahoma"/>
            <family val="2"/>
          </rPr>
          <t xml:space="preserve">Voor de NOP wordt door het waterschap inlaat ijsselmeerwater als achtergrond beschouwd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7" authorId="0" shapeId="0" xr:uid="{8E8DE783-A634-4485-B2A5-5989AA2D15D2}">
      <text>
        <r>
          <rPr>
            <b/>
            <sz val="9"/>
            <color indexed="81"/>
            <rFont val="Tahoma"/>
            <family val="2"/>
          </rPr>
          <t xml:space="preserve">Mattijs
</t>
        </r>
        <r>
          <rPr>
            <sz val="9"/>
            <color indexed="81"/>
            <rFont val="Tahoma"/>
            <family val="2"/>
          </rPr>
          <t xml:space="preserve">Het aandeel achtergrond in fractie van het ingelaten IJsselmeerwater is als volgt:
Stikstof jaarlijks: 0.58
Stikstof zomer: 0.61
Fosfor jaarlijks: 0.45
Fosfor zomer: 0.32
</t>
        </r>
      </text>
    </comment>
    <comment ref="Z38" authorId="0" shapeId="0" xr:uid="{5F431931-5F83-4466-884B-DA62053FB753}">
      <text>
        <r>
          <rPr>
            <b/>
            <sz val="9"/>
            <color indexed="81"/>
            <rFont val="Tahoma"/>
            <family val="2"/>
          </rPr>
          <t xml:space="preserve">Voor de NOP wordt door het waterschap inlaat ijsselmeerwater als achtergrond beschouwd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<sst xmlns="http://schemas.openxmlformats.org/spreadsheetml/2006/main" count="1170" uniqueCount="203">
  <si>
    <t>Berekend met directe kwel</t>
  </si>
  <si>
    <t>bovengrens onzekerheidsmarge ZOF</t>
  </si>
  <si>
    <t>Met directe kwel berekend</t>
  </si>
  <si>
    <t>ondergrens onzekerheidsmarge ZOF</t>
  </si>
  <si>
    <t>zomerhalfjaar  2017-2022</t>
  </si>
  <si>
    <t>af- en uitspoeling landbouw en natuurgronden (kgN) zomer</t>
  </si>
  <si>
    <t>Directe kwel (kgN)</t>
  </si>
  <si>
    <t>overige landbouw emissies (kgN)</t>
  </si>
  <si>
    <t>overige punt en diffuse bronnen (kgN) zomer</t>
  </si>
  <si>
    <t>externe bronnen (kgN) zomer</t>
  </si>
  <si>
    <t>totaal (kgN) zomergemiddeld</t>
  </si>
  <si>
    <t>Uitsplitsing afwenteling van bovenstrooms</t>
  </si>
  <si>
    <t>extern (kgN) zomer</t>
  </si>
  <si>
    <t>Totaal zomer</t>
  </si>
  <si>
    <t>natuurlijke bronnen</t>
  </si>
  <si>
    <t>antropogene bronnen</t>
  </si>
  <si>
    <t>achtergrondbelasting Stikstof</t>
  </si>
  <si>
    <t>bandbreedte onzekerheden</t>
  </si>
  <si>
    <t>bandbreedte achtergrond N</t>
  </si>
  <si>
    <t>gebied nummer</t>
  </si>
  <si>
    <t>Naam</t>
  </si>
  <si>
    <t>achtergrond belasting N</t>
  </si>
  <si>
    <t>achtergrond concentratie N (mg/l)</t>
  </si>
  <si>
    <t>KRW-doel (mgN/l)</t>
  </si>
  <si>
    <t>N gemeten (mgN/l)</t>
  </si>
  <si>
    <t>Bemesting
actueel</t>
  </si>
  <si>
    <t>Bemesting
historisch</t>
  </si>
  <si>
    <t>Depositie</t>
  </si>
  <si>
    <t>Infiltratie</t>
  </si>
  <si>
    <t>Kwel</t>
  </si>
  <si>
    <t>Mineralisatie
en uitloging</t>
  </si>
  <si>
    <t>Natuur-
gronden</t>
  </si>
  <si>
    <t>Directe kwel</t>
  </si>
  <si>
    <t>Erfaf-
spoeling</t>
  </si>
  <si>
    <t>Glas-
tuinbouw</t>
  </si>
  <si>
    <t>Mee-
mesten</t>
  </si>
  <si>
    <t>RWZI</t>
  </si>
  <si>
    <t>Industrie</t>
  </si>
  <si>
    <t>Depositie
open water</t>
  </si>
  <si>
    <t>Overstort</t>
  </si>
  <si>
    <t>Regen
waterriolen</t>
  </si>
  <si>
    <t>Water-
vogels</t>
  </si>
  <si>
    <t>Binnen-
vaart</t>
  </si>
  <si>
    <t>Overige</t>
  </si>
  <si>
    <t>Inlaat Rijkswater</t>
  </si>
  <si>
    <t>Aanvoer Buitenland</t>
  </si>
  <si>
    <t>Afwenteling bovenstrooms</t>
  </si>
  <si>
    <t>Totale belasting</t>
  </si>
  <si>
    <t>Retentie</t>
  </si>
  <si>
    <t>Totaal uit</t>
  </si>
  <si>
    <t>ID</t>
  </si>
  <si>
    <t>naam KRW lichaam</t>
  </si>
  <si>
    <t>totaal</t>
  </si>
  <si>
    <r>
      <rPr>
        <sz val="10"/>
        <rFont val="Aptos Narrow"/>
        <family val="2"/>
        <scheme val="minor"/>
      </rPr>
      <t>achtergrond belasting</t>
    </r>
    <r>
      <rPr>
        <sz val="10"/>
        <color theme="0" tint="-0.499984740745262"/>
        <rFont val="Aptos Narrow"/>
        <family val="2"/>
        <scheme val="minor"/>
      </rPr>
      <t xml:space="preserve"> (check</t>
    </r>
  </si>
  <si>
    <t>UA landbouw  door kwel mineralisatie depositie inf.ow en UA natuur</t>
  </si>
  <si>
    <t>directe kwel</t>
  </si>
  <si>
    <t>directe depositie en watervogels</t>
  </si>
  <si>
    <t>deels (48%) regenwater riolen</t>
  </si>
  <si>
    <t>deels inlaat  ijsselmeer water</t>
  </si>
  <si>
    <t>UA landbouw door mest</t>
  </si>
  <si>
    <t>Erf afspoeling</t>
  </si>
  <si>
    <t>RWZI's</t>
  </si>
  <si>
    <t>regenwater riolen</t>
  </si>
  <si>
    <t>deels inlaat rijkswater</t>
  </si>
  <si>
    <t>overige</t>
  </si>
  <si>
    <t>check</t>
  </si>
  <si>
    <t>gemiddeld</t>
  </si>
  <si>
    <t>bovengrens achtergrond</t>
  </si>
  <si>
    <t>ondergrens</t>
  </si>
  <si>
    <t>deels (60%) regenwater riolen</t>
  </si>
  <si>
    <r>
      <t>σ</t>
    </r>
    <r>
      <rPr>
        <vertAlign val="subscript"/>
        <sz val="12"/>
        <color theme="1"/>
        <rFont val="Aptos Narrow"/>
        <family val="2"/>
      </rPr>
      <t>natuurlijk</t>
    </r>
  </si>
  <si>
    <r>
      <t>σ</t>
    </r>
    <r>
      <rPr>
        <vertAlign val="subscript"/>
        <sz val="12"/>
        <color theme="1"/>
        <rFont val="Aptos Narrow"/>
        <family val="2"/>
      </rPr>
      <t>totaal</t>
    </r>
  </si>
  <si>
    <r>
      <t>σ</t>
    </r>
    <r>
      <rPr>
        <vertAlign val="subscript"/>
        <sz val="14"/>
        <color theme="1"/>
        <rFont val="Aptos Narrow"/>
        <family val="2"/>
      </rPr>
      <t xml:space="preserve"> </t>
    </r>
    <r>
      <rPr>
        <i/>
        <vertAlign val="subscript"/>
        <sz val="14"/>
        <color theme="1"/>
        <rFont val="Aptos Narrow"/>
        <family val="2"/>
      </rPr>
      <t>fab</t>
    </r>
  </si>
  <si>
    <t>gemiddeld + STDEV</t>
  </si>
  <si>
    <t>Gemiddeld - STDEV</t>
  </si>
  <si>
    <t>Tochten ABC1</t>
  </si>
  <si>
    <t>Tochten_ABC1</t>
  </si>
  <si>
    <t>Tochten ABC2</t>
  </si>
  <si>
    <t>Tochten_ABC2</t>
  </si>
  <si>
    <t>Tochten DE Almere</t>
  </si>
  <si>
    <t>Tochten_DE_Almere</t>
  </si>
  <si>
    <t>Tochten DE Zuidlob</t>
  </si>
  <si>
    <t>Tochten_DE_Zuidlob</t>
  </si>
  <si>
    <t>Tochten FGIK</t>
  </si>
  <si>
    <t>Tochten_FGIK</t>
  </si>
  <si>
    <t>Tochten FGIK ZUID</t>
  </si>
  <si>
    <t>Tochten_FGIK_ZUID</t>
  </si>
  <si>
    <t>Tochten H</t>
  </si>
  <si>
    <t>Tochten_H</t>
  </si>
  <si>
    <t>Tochten  J</t>
  </si>
  <si>
    <t>Tochten_J</t>
  </si>
  <si>
    <t>Tochten lage afdeling NOP</t>
  </si>
  <si>
    <t>Tochten_lage_afdeling_NOP</t>
  </si>
  <si>
    <t>Oostvaardersplassen</t>
  </si>
  <si>
    <t>Tochten hoge afdeling NOP</t>
  </si>
  <si>
    <t>Tochten_hoge_afdeling_NOP</t>
  </si>
  <si>
    <t>Vaarten NOP</t>
  </si>
  <si>
    <t>Vaarten_NOP</t>
  </si>
  <si>
    <t>Vaarten hoge afdeling ZOF</t>
  </si>
  <si>
    <t>Vaarten_hoge_afdeling_ZOF</t>
  </si>
  <si>
    <t>Vaarten Lage afdeling ZOF</t>
  </si>
  <si>
    <t>Vaarten_Lage_afdeling_ZOF</t>
  </si>
  <si>
    <t>aanname achtergrondbelasting</t>
  </si>
  <si>
    <t>NOP</t>
  </si>
  <si>
    <t>af- en uitspoeling landbouw en natuurgronden (kgP) zomer</t>
  </si>
  <si>
    <t>Directe kwel (kgP)</t>
  </si>
  <si>
    <t>overige landbouw emissies (kgP)</t>
  </si>
  <si>
    <t>overige punt en diffuse bronnen (kgP) zomer</t>
  </si>
  <si>
    <t>externe bronnen (kgP) zomer</t>
  </si>
  <si>
    <t>totaal (kgP) zomergemiddeld</t>
  </si>
  <si>
    <t>extern (kgP) zomer</t>
  </si>
  <si>
    <t>achtergrondbelasting Fosfor</t>
  </si>
  <si>
    <t>bandbreedte achtergrond P</t>
  </si>
  <si>
    <t>achtergrond belasting P</t>
  </si>
  <si>
    <t>achtergrond concentratie P (mg/l)</t>
  </si>
  <si>
    <t>KRW-doel (mgP/l)</t>
  </si>
  <si>
    <t>P gemeten (mgP/l)</t>
  </si>
  <si>
    <t>aannames antropogeen</t>
  </si>
  <si>
    <t>data waterkwaliteitsportaal</t>
  </si>
  <si>
    <t>waterbalans berekend</t>
  </si>
  <si>
    <t>berekende concentraties</t>
  </si>
  <si>
    <t>berekende vrachten naar gemalen</t>
  </si>
  <si>
    <t>Herkomst Stikstof belasting oppervlaktewater Zuiderzeeland zomerhalfjaar 2017-2022</t>
  </si>
  <si>
    <t>ID_KRW</t>
  </si>
  <si>
    <t xml:space="preserve"> areaal toestroom gebied (m2)</t>
  </si>
  <si>
    <t>Doel N totaal 2023</t>
  </si>
  <si>
    <t>Doel P totaal 2023</t>
  </si>
  <si>
    <t>zomerhalfjaar gemiddeld N 2017-2022</t>
  </si>
  <si>
    <t>zomerhalfjaar gemiddeld P 2017-2022</t>
  </si>
  <si>
    <t>af- en uitspoeling (m3/j)</t>
  </si>
  <si>
    <t>directe kwel (m3/j)</t>
  </si>
  <si>
    <t>RWZI's (m3/j)</t>
  </si>
  <si>
    <t>regenwater riolen (m3/j)</t>
  </si>
  <si>
    <t>Industrie (Mm3/j)</t>
  </si>
  <si>
    <t>inlaat rijkswater (m3/j)</t>
  </si>
  <si>
    <t>afwenteling bovenstrooms (m3/j)</t>
  </si>
  <si>
    <t>totaal (m3/j)</t>
  </si>
  <si>
    <t>validatie: afvoer naar gemalen</t>
  </si>
  <si>
    <t>stikstof (mg/l)</t>
  </si>
  <si>
    <t>Fosfor (mg/l)</t>
  </si>
  <si>
    <t>stikstof (ton/j)</t>
  </si>
  <si>
    <t>Fosfor (ton/j)</t>
  </si>
  <si>
    <t>voor de staafgrafieken</t>
  </si>
  <si>
    <t>bemesting</t>
  </si>
  <si>
    <t>Mineralisatie &amp; uitloging</t>
  </si>
  <si>
    <t>Uit- en afspoeling natuur</t>
  </si>
  <si>
    <t xml:space="preserve">Directe kwel </t>
  </si>
  <si>
    <t>Overig agrarisch</t>
  </si>
  <si>
    <t>Depositie open water</t>
  </si>
  <si>
    <t>Regenwaterriolen</t>
  </si>
  <si>
    <t>Overige bronnen</t>
  </si>
  <si>
    <t>NL37_ABC1_2013</t>
  </si>
  <si>
    <t>NL37_ABC2_2013</t>
  </si>
  <si>
    <t>NL37_DE_2013</t>
  </si>
  <si>
    <t>NL37_FGIK_2013</t>
  </si>
  <si>
    <t>NL37_H_2013</t>
  </si>
  <si>
    <t>Tochten J</t>
  </si>
  <si>
    <t>NL37_J_2013</t>
  </si>
  <si>
    <t>NL37_LMNOP_2013</t>
  </si>
  <si>
    <t>NL37_OOSTVAARDERSPLASSEN</t>
  </si>
  <si>
    <t>NL37_Q_2013</t>
  </si>
  <si>
    <t>NL37_RS</t>
  </si>
  <si>
    <t>NL37_U</t>
  </si>
  <si>
    <t>NL37_V</t>
  </si>
  <si>
    <t>Vaarten ZOF hoog naar tochten en vaart laag</t>
  </si>
  <si>
    <t>tochten en vaarten</t>
  </si>
  <si>
    <t>Flevoland</t>
  </si>
  <si>
    <t>Herkomst Fosfor belasting oppervlaktewater Zuiderzeeland zomerhalfjaar 2017-2022</t>
  </si>
  <si>
    <t>37113: 23% gaat in zomer naar de tochten en vaarten laag, op jaarbais 12%</t>
  </si>
  <si>
    <t>jaargemiddeld 2017-2022</t>
  </si>
  <si>
    <t>af- en uitspoeling landbouw en natuurgronden (kgN)</t>
  </si>
  <si>
    <t>overige punt en diffuse bronnen (kgN)</t>
  </si>
  <si>
    <t>externe bronnen (kgN)</t>
  </si>
  <si>
    <t>totaal (kgN) jaargemiddeld</t>
  </si>
  <si>
    <t>externe (kgN)</t>
  </si>
  <si>
    <t>Totaal</t>
  </si>
  <si>
    <t>achtergrond belasting (check</t>
  </si>
  <si>
    <t>af- en uitspoeling landbouw en natuurgronden (kgP)</t>
  </si>
  <si>
    <t>overige punt en diffuse bronnen (kgP)</t>
  </si>
  <si>
    <t>externe bronnen (kgP)</t>
  </si>
  <si>
    <t>totaal (kgP) jaargemiddeld</t>
  </si>
  <si>
    <t>externe (kgP)</t>
  </si>
  <si>
    <t>Herkomst Stikstof belasting oppervlaktewater Zuiderzeeland jaargemiddeld 2017-2022</t>
  </si>
  <si>
    <t>jaar gemiddeld  N 2017-2022</t>
  </si>
  <si>
    <t>jaar gemiddeld P 2017-2022</t>
  </si>
  <si>
    <t>af- en uitspoeling (Mm3/j)</t>
  </si>
  <si>
    <t>directe kwel (Mm3/j)</t>
  </si>
  <si>
    <t>RWZI's (Mm3/j)</t>
  </si>
  <si>
    <t>regenwater riolen (Mm3/j)</t>
  </si>
  <si>
    <t>inlaat rijkswater (Mm3/j)</t>
  </si>
  <si>
    <t>afwenteling bovenstrooms (Mm3/j)</t>
  </si>
  <si>
    <t>totaal (Mm3/j)</t>
  </si>
  <si>
    <t>afvoer naar gemalen</t>
  </si>
  <si>
    <t>Herkomst Fosfor belasting oppervlaktewater Zuiderzeeland jaargemiddeld 2017-2022</t>
  </si>
  <si>
    <t>zomerhalfjaar 2010-2016</t>
  </si>
  <si>
    <t>Herkomst Stikstof belasting oppervlaktewater Zuiderzeeland zomerhalfjaar 2010-2016</t>
  </si>
  <si>
    <t>zomerhalfjaar gemiddeld N 2010-2016</t>
  </si>
  <si>
    <t>zomerhalfjaar gemiddeld P 2010-2016</t>
  </si>
  <si>
    <t>Herkomst Fosfor belasting oppervlaktewater Zuiderzeeland zomerhalfjaar 2010-2016</t>
  </si>
  <si>
    <t>37113: in 2015-2016 gaat 14% in zomer naar de tochten en vaarten laag, op jaarbais 9%</t>
  </si>
  <si>
    <t>jaargemiddeld 2010-2016</t>
  </si>
  <si>
    <t>jaar gemiddeld N 2010-2016</t>
  </si>
  <si>
    <t>jaar gemiddeld P 2010-2016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</si>
</sst>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0000"/>
  </numFmts>
  <fonts count="3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rgb="FF00206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sz val="9"/>
      <color rgb="FFC00000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</font>
    <font>
      <vertAlign val="subscript"/>
      <sz val="12"/>
      <color theme="1"/>
      <name val="Aptos Narrow"/>
      <family val="2"/>
    </font>
    <font>
      <sz val="14"/>
      <color theme="1"/>
      <name val="Aptos Narrow"/>
      <family val="2"/>
    </font>
    <font>
      <vertAlign val="subscript"/>
      <sz val="14"/>
      <color theme="1"/>
      <name val="Aptos Narrow"/>
      <family val="2"/>
    </font>
    <font>
      <i/>
      <vertAlign val="subscript"/>
      <sz val="14"/>
      <color theme="1"/>
      <name val="Aptos Narrow"/>
      <family val="2"/>
    </font>
    <font>
      <sz val="11"/>
      <color theme="0" tint="-0.499984740745262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</font>
    <font>
      <sz val="9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FF7C8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0"/>
      <color rgb="FF7030A0"/>
      <name val="Aptos Narrow"/>
      <family val="2"/>
      <scheme val="minor"/>
    </font>
    <font>
      <sz val="10"/>
      <color rgb="FF7030A0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8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0" fontId="4" fillId="0" borderId="4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0" fontId="4" fillId="4" borderId="4" xfId="0" applyFont="1" applyFill="1" applyBorder="1"/>
    <xf numFmtId="0" fontId="4" fillId="4" borderId="3" xfId="0" applyFont="1" applyFill="1" applyBorder="1"/>
    <xf numFmtId="0" fontId="0" fillId="0" borderId="4" xfId="0" applyBorder="1"/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9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6" borderId="5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7" fillId="4" borderId="5" xfId="0" applyFont="1" applyFill="1" applyBorder="1" applyAlignment="1">
      <alignment horizontal="left"/>
    </xf>
    <xf numFmtId="0" fontId="10" fillId="4" borderId="5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13" fillId="5" borderId="5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13" fillId="5" borderId="8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2" fillId="0" borderId="0" xfId="0" applyFont="1" applyAlignment="1">
      <alignment textRotation="90" wrapText="1"/>
    </xf>
    <xf numFmtId="0" fontId="8" fillId="0" borderId="9" xfId="0" applyFont="1" applyBorder="1" applyAlignment="1">
      <alignment wrapText="1"/>
    </xf>
    <xf numFmtId="0" fontId="7" fillId="0" borderId="11" xfId="0" applyFont="1" applyBorder="1"/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3" fillId="5" borderId="11" xfId="0" applyFont="1" applyFill="1" applyBorder="1" applyAlignment="1">
      <alignment wrapText="1"/>
    </xf>
    <xf numFmtId="0" fontId="13" fillId="5" borderId="12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1" fontId="14" fillId="0" borderId="11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9" fontId="0" fillId="0" borderId="7" xfId="0" applyNumberFormat="1" applyBorder="1"/>
    <xf numFmtId="9" fontId="6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6" fillId="5" borderId="13" xfId="0" applyNumberFormat="1" applyFont="1" applyFill="1" applyBorder="1" applyAlignment="1">
      <alignment horizontal="center"/>
    </xf>
    <xf numFmtId="1" fontId="6" fillId="5" borderId="0" xfId="0" applyNumberFormat="1" applyFont="1" applyFill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0" borderId="13" xfId="0" applyNumberFormat="1" applyFont="1" applyBorder="1" applyAlignment="1">
      <alignment horizontal="left"/>
    </xf>
    <xf numFmtId="9" fontId="7" fillId="0" borderId="13" xfId="0" applyNumberFormat="1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9" fontId="7" fillId="0" borderId="7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9" fontId="21" fillId="0" borderId="14" xfId="0" applyNumberFormat="1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0" xfId="0" applyNumberFormat="1"/>
    <xf numFmtId="0" fontId="0" fillId="0" borderId="13" xfId="0" applyBorder="1" applyAlignment="1">
      <alignment horizontal="center"/>
    </xf>
    <xf numFmtId="0" fontId="0" fillId="0" borderId="13" xfId="0" applyBorder="1"/>
    <xf numFmtId="2" fontId="4" fillId="0" borderId="0" xfId="0" applyNumberFormat="1" applyFont="1" applyAlignment="1">
      <alignment horizontal="center"/>
    </xf>
    <xf numFmtId="2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0" fontId="0" fillId="4" borderId="13" xfId="0" applyFill="1" applyBorder="1"/>
    <xf numFmtId="1" fontId="0" fillId="4" borderId="13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4" borderId="14" xfId="0" applyNumberFormat="1" applyFill="1" applyBorder="1" applyAlignment="1">
      <alignment horizontal="center"/>
    </xf>
    <xf numFmtId="1" fontId="22" fillId="0" borderId="13" xfId="0" applyNumberFormat="1" applyFont="1" applyBorder="1" applyAlignment="1">
      <alignment horizontal="left"/>
    </xf>
    <xf numFmtId="1" fontId="23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9" fontId="0" fillId="0" borderId="5" xfId="0" applyNumberForma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0" fillId="4" borderId="5" xfId="0" applyFill="1" applyBorder="1"/>
    <xf numFmtId="1" fontId="0" fillId="4" borderId="5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8" xfId="0" applyNumberFormat="1" applyBorder="1"/>
    <xf numFmtId="1" fontId="6" fillId="5" borderId="5" xfId="0" applyNumberFormat="1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20" fillId="0" borderId="5" xfId="0" applyNumberFormat="1" applyFont="1" applyBorder="1" applyAlignment="1">
      <alignment horizontal="left"/>
    </xf>
    <xf numFmtId="9" fontId="7" fillId="0" borderId="5" xfId="0" applyNumberFormat="1" applyFont="1" applyBorder="1" applyAlignment="1">
      <alignment horizontal="center"/>
    </xf>
    <xf numFmtId="9" fontId="7" fillId="0" borderId="6" xfId="0" applyNumberFormat="1" applyFont="1" applyBorder="1" applyAlignment="1">
      <alignment horizontal="center"/>
    </xf>
    <xf numFmtId="9" fontId="7" fillId="0" borderId="8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9" fontId="21" fillId="0" borderId="9" xfId="0" applyNumberFormat="1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4" fillId="0" borderId="0" xfId="0" applyFont="1" applyAlignment="1">
      <alignment horizontal="center"/>
    </xf>
    <xf numFmtId="9" fontId="0" fillId="0" borderId="0" xfId="0" applyNumberFormat="1" applyAlignment="1">
      <alignment horizontal="right"/>
    </xf>
    <xf numFmtId="9" fontId="8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5" fillId="0" borderId="0" xfId="0" applyFont="1"/>
    <xf numFmtId="0" fontId="25" fillId="0" borderId="1" xfId="0" applyFont="1" applyBorder="1"/>
    <xf numFmtId="0" fontId="25" fillId="0" borderId="2" xfId="0" applyFont="1" applyBorder="1" applyAlignment="1">
      <alignment horizontal="center" vertical="top" wrapText="1"/>
    </xf>
    <xf numFmtId="0" fontId="25" fillId="4" borderId="2" xfId="0" applyFont="1" applyFill="1" applyBorder="1" applyAlignment="1">
      <alignment vertical="top"/>
    </xf>
    <xf numFmtId="0" fontId="25" fillId="4" borderId="2" xfId="0" applyFont="1" applyFill="1" applyBorder="1" applyAlignment="1">
      <alignment horizontal="center" vertical="top" wrapText="1"/>
    </xf>
    <xf numFmtId="0" fontId="25" fillId="4" borderId="3" xfId="0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1" fontId="21" fillId="0" borderId="2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27" fillId="6" borderId="5" xfId="0" applyFont="1" applyFill="1" applyBorder="1" applyAlignment="1">
      <alignment wrapText="1"/>
    </xf>
    <xf numFmtId="0" fontId="27" fillId="4" borderId="6" xfId="0" applyFont="1" applyFill="1" applyBorder="1" applyAlignment="1">
      <alignment wrapText="1"/>
    </xf>
    <xf numFmtId="0" fontId="27" fillId="4" borderId="5" xfId="0" applyFont="1" applyFill="1" applyBorder="1" applyAlignment="1">
      <alignment wrapText="1"/>
    </xf>
    <xf numFmtId="0" fontId="27" fillId="4" borderId="8" xfId="0" applyFont="1" applyFill="1" applyBorder="1" applyAlignment="1">
      <alignment wrapText="1"/>
    </xf>
    <xf numFmtId="0" fontId="23" fillId="0" borderId="5" xfId="0" applyFont="1" applyBorder="1"/>
    <xf numFmtId="0" fontId="27" fillId="0" borderId="6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13" fillId="5" borderId="6" xfId="0" applyFont="1" applyFill="1" applyBorder="1" applyAlignment="1">
      <alignment wrapText="1"/>
    </xf>
    <xf numFmtId="0" fontId="13" fillId="5" borderId="8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1" fontId="14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0" fontId="0" fillId="4" borderId="0" xfId="0" applyFill="1"/>
    <xf numFmtId="1" fontId="20" fillId="0" borderId="14" xfId="0" applyNumberFormat="1" applyFont="1" applyBorder="1" applyAlignment="1">
      <alignment horizontal="left"/>
    </xf>
    <xf numFmtId="9" fontId="23" fillId="0" borderId="13" xfId="0" applyNumberFormat="1" applyFont="1" applyBorder="1" applyAlignment="1">
      <alignment horizontal="center"/>
    </xf>
    <xf numFmtId="9" fontId="23" fillId="0" borderId="0" xfId="0" applyNumberFormat="1" applyFont="1" applyAlignment="1">
      <alignment horizontal="center"/>
    </xf>
    <xf numFmtId="9" fontId="23" fillId="0" borderId="7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25" fillId="0" borderId="0" xfId="0" applyNumberFormat="1" applyFont="1" applyAlignment="1">
      <alignment horizontal="center"/>
    </xf>
    <xf numFmtId="1" fontId="22" fillId="0" borderId="14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2" fontId="25" fillId="0" borderId="6" xfId="0" applyNumberFormat="1" applyFont="1" applyBorder="1" applyAlignment="1">
      <alignment horizontal="center"/>
    </xf>
    <xf numFmtId="0" fontId="0" fillId="4" borderId="6" xfId="0" applyFill="1" applyBorder="1"/>
    <xf numFmtId="1" fontId="20" fillId="0" borderId="9" xfId="0" applyNumberFormat="1" applyFont="1" applyBorder="1" applyAlignment="1">
      <alignment horizontal="left"/>
    </xf>
    <xf numFmtId="9" fontId="23" fillId="0" borderId="5" xfId="0" applyNumberFormat="1" applyFont="1" applyBorder="1" applyAlignment="1">
      <alignment horizontal="center"/>
    </xf>
    <xf numFmtId="9" fontId="23" fillId="0" borderId="6" xfId="0" applyNumberFormat="1" applyFont="1" applyBorder="1" applyAlignment="1">
      <alignment horizontal="center"/>
    </xf>
    <xf numFmtId="9" fontId="23" fillId="0" borderId="8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8" fillId="0" borderId="6" xfId="0" applyFont="1" applyBorder="1" applyAlignment="1">
      <alignment wrapText="1"/>
    </xf>
    <xf numFmtId="1" fontId="0" fillId="0" borderId="5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0" fontId="0" fillId="0" borderId="8" xfId="0" applyBorder="1" applyAlignment="1">
      <alignment horizontal="left" wrapText="1"/>
    </xf>
    <xf numFmtId="0" fontId="10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1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4" borderId="9" xfId="0" applyFont="1" applyFill="1" applyBorder="1" applyAlignment="1">
      <alignment horizontal="center" wrapText="1"/>
    </xf>
    <xf numFmtId="0" fontId="31" fillId="0" borderId="8" xfId="0" applyFont="1" applyBorder="1" applyAlignment="1">
      <alignment wrapText="1"/>
    </xf>
    <xf numFmtId="0" fontId="10" fillId="7" borderId="5" xfId="0" applyFont="1" applyFill="1" applyBorder="1" applyAlignment="1">
      <alignment horizontal="center" wrapText="1"/>
    </xf>
    <xf numFmtId="0" fontId="31" fillId="7" borderId="8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19" xfId="0" applyFont="1" applyBorder="1" applyAlignment="1">
      <alignment wrapText="1"/>
    </xf>
    <xf numFmtId="0" fontId="0" fillId="0" borderId="7" xfId="0" applyBorder="1"/>
    <xf numFmtId="1" fontId="33" fillId="0" borderId="13" xfId="0" applyNumberFormat="1" applyFont="1" applyBorder="1"/>
    <xf numFmtId="1" fontId="33" fillId="0" borderId="0" xfId="0" applyNumberFormat="1" applyFont="1"/>
    <xf numFmtId="0" fontId="33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34" fillId="0" borderId="7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9" fontId="0" fillId="0" borderId="19" xfId="0" applyNumberFormat="1" applyBorder="1"/>
    <xf numFmtId="1" fontId="35" fillId="0" borderId="13" xfId="0" applyNumberFormat="1" applyFont="1" applyBorder="1" applyAlignment="1">
      <alignment horizontal="center"/>
    </xf>
    <xf numFmtId="1" fontId="35" fillId="0" borderId="0" xfId="0" applyNumberFormat="1" applyFont="1" applyAlignment="1">
      <alignment horizontal="center"/>
    </xf>
    <xf numFmtId="2" fontId="7" fillId="0" borderId="13" xfId="0" applyNumberFormat="1" applyFont="1" applyBorder="1" applyAlignment="1">
      <alignment horizontal="center"/>
    </xf>
    <xf numFmtId="1" fontId="35" fillId="4" borderId="14" xfId="0" applyNumberFormat="1" applyFont="1" applyFill="1" applyBorder="1" applyAlignment="1">
      <alignment horizontal="center"/>
    </xf>
    <xf numFmtId="1" fontId="7" fillId="7" borderId="13" xfId="0" applyNumberFormat="1" applyFont="1" applyFill="1" applyBorder="1" applyAlignment="1">
      <alignment horizontal="center"/>
    </xf>
    <xf numFmtId="1" fontId="34" fillId="7" borderId="7" xfId="0" applyNumberFormat="1" applyFon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/>
    <xf numFmtId="9" fontId="0" fillId="0" borderId="21" xfId="0" applyNumberFormat="1" applyBorder="1"/>
    <xf numFmtId="9" fontId="0" fillId="0" borderId="22" xfId="0" applyNumberFormat="1" applyBorder="1"/>
    <xf numFmtId="1" fontId="7" fillId="7" borderId="5" xfId="0" applyNumberFormat="1" applyFont="1" applyFill="1" applyBorder="1" applyAlignment="1">
      <alignment horizontal="center"/>
    </xf>
    <xf numFmtId="1" fontId="34" fillId="7" borderId="8" xfId="0" applyNumberFormat="1" applyFont="1" applyFill="1" applyBorder="1" applyAlignment="1">
      <alignment horizontal="center"/>
    </xf>
    <xf numFmtId="1" fontId="33" fillId="0" borderId="1" xfId="0" applyNumberFormat="1" applyFont="1" applyBorder="1"/>
    <xf numFmtId="1" fontId="33" fillId="0" borderId="2" xfId="0" applyNumberFormat="1" applyFont="1" applyBorder="1"/>
    <xf numFmtId="0" fontId="33" fillId="0" borderId="3" xfId="0" applyFont="1" applyBorder="1" applyAlignment="1">
      <alignment horizontal="left"/>
    </xf>
    <xf numFmtId="2" fontId="34" fillId="0" borderId="2" xfId="0" applyNumberFormat="1" applyFont="1" applyBorder="1" applyAlignment="1">
      <alignment horizontal="center"/>
    </xf>
    <xf numFmtId="2" fontId="34" fillId="0" borderId="3" xfId="0" applyNumberFormat="1" applyFont="1" applyBorder="1" applyAlignment="1">
      <alignment horizontal="center"/>
    </xf>
    <xf numFmtId="1" fontId="35" fillId="4" borderId="4" xfId="0" applyNumberFormat="1" applyFont="1" applyFill="1" applyBorder="1" applyAlignment="1">
      <alignment horizontal="center"/>
    </xf>
    <xf numFmtId="0" fontId="33" fillId="0" borderId="7" xfId="0" applyFont="1" applyBorder="1" applyAlignment="1">
      <alignment horizontal="left"/>
    </xf>
    <xf numFmtId="1" fontId="32" fillId="0" borderId="13" xfId="0" applyNumberFormat="1" applyFont="1" applyBorder="1" applyAlignment="1">
      <alignment horizontal="center"/>
    </xf>
    <xf numFmtId="1" fontId="32" fillId="0" borderId="0" xfId="0" applyNumberFormat="1" applyFont="1" applyAlignment="1">
      <alignment horizontal="center"/>
    </xf>
    <xf numFmtId="0" fontId="0" fillId="0" borderId="14" xfId="0" applyBorder="1"/>
    <xf numFmtId="2" fontId="7" fillId="0" borderId="0" xfId="0" applyNumberFormat="1" applyFont="1"/>
    <xf numFmtId="0" fontId="23" fillId="0" borderId="7" xfId="0" applyFont="1" applyBorder="1"/>
    <xf numFmtId="0" fontId="0" fillId="0" borderId="6" xfId="0" applyBorder="1"/>
    <xf numFmtId="0" fontId="33" fillId="0" borderId="8" xfId="0" applyFont="1" applyBorder="1" applyAlignment="1">
      <alignment horizontal="left"/>
    </xf>
    <xf numFmtId="0" fontId="0" fillId="0" borderId="8" xfId="0" applyBorder="1"/>
    <xf numFmtId="1" fontId="32" fillId="0" borderId="5" xfId="0" applyNumberFormat="1" applyFont="1" applyBorder="1" applyAlignment="1">
      <alignment horizontal="center"/>
    </xf>
    <xf numFmtId="1" fontId="32" fillId="0" borderId="6" xfId="0" applyNumberFormat="1" applyFont="1" applyBorder="1" applyAlignment="1">
      <alignment horizontal="center"/>
    </xf>
    <xf numFmtId="0" fontId="0" fillId="0" borderId="9" xfId="0" applyBorder="1"/>
    <xf numFmtId="2" fontId="7" fillId="0" borderId="6" xfId="0" applyNumberFormat="1" applyFont="1" applyBorder="1"/>
    <xf numFmtId="0" fontId="23" fillId="0" borderId="8" xfId="0" applyFont="1" applyBorder="1"/>
    <xf numFmtId="1" fontId="32" fillId="0" borderId="0" xfId="0" applyNumberFormat="1" applyFont="1" applyAlignment="1">
      <alignment horizontal="left"/>
    </xf>
    <xf numFmtId="1" fontId="0" fillId="0" borderId="3" xfId="0" applyNumberFormat="1" applyBorder="1"/>
    <xf numFmtId="0" fontId="10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9" fontId="1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0" fontId="25" fillId="0" borderId="2" xfId="0" applyFont="1" applyBorder="1"/>
    <xf numFmtId="0" fontId="26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2" fontId="23" fillId="0" borderId="6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left" wrapText="1"/>
    </xf>
    <xf numFmtId="0" fontId="10" fillId="8" borderId="6" xfId="0" applyFont="1" applyFill="1" applyBorder="1" applyAlignment="1">
      <alignment horizontal="center" wrapText="1"/>
    </xf>
    <xf numFmtId="0" fontId="31" fillId="8" borderId="8" xfId="0" applyFont="1" applyFill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2" fontId="7" fillId="8" borderId="0" xfId="0" applyNumberFormat="1" applyFont="1" applyFill="1" applyAlignment="1">
      <alignment horizontal="center"/>
    </xf>
    <xf numFmtId="2" fontId="34" fillId="8" borderId="7" xfId="0" applyNumberFormat="1" applyFont="1" applyFill="1" applyBorder="1" applyAlignment="1">
      <alignment horizontal="center"/>
    </xf>
    <xf numFmtId="165" fontId="35" fillId="0" borderId="2" xfId="0" applyNumberFormat="1" applyFont="1" applyBorder="1" applyAlignment="1">
      <alignment horizontal="center"/>
    </xf>
    <xf numFmtId="1" fontId="23" fillId="7" borderId="7" xfId="0" applyNumberFormat="1" applyFont="1" applyFill="1" applyBorder="1" applyAlignment="1">
      <alignment horizontal="center"/>
    </xf>
    <xf numFmtId="1" fontId="23" fillId="7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165" fontId="0" fillId="0" borderId="0" xfId="0" applyNumberFormat="1"/>
    <xf numFmtId="1" fontId="0" fillId="9" borderId="5" xfId="0" applyNumberFormat="1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1" fontId="35" fillId="0" borderId="5" xfId="0" applyNumberFormat="1" applyFont="1" applyBorder="1" applyAlignment="1">
      <alignment horizontal="center"/>
    </xf>
    <xf numFmtId="1" fontId="35" fillId="0" borderId="6" xfId="0" applyNumberFormat="1" applyFont="1" applyBorder="1" applyAlignment="1">
      <alignment horizontal="center"/>
    </xf>
    <xf numFmtId="1" fontId="35" fillId="4" borderId="9" xfId="0" applyNumberFormat="1" applyFont="1" applyFill="1" applyBorder="1" applyAlignment="1">
      <alignment horizontal="center"/>
    </xf>
    <xf numFmtId="1" fontId="35" fillId="0" borderId="3" xfId="0" applyNumberFormat="1" applyFont="1" applyBorder="1" applyAlignment="1">
      <alignment horizontal="center"/>
    </xf>
    <xf numFmtId="1" fontId="32" fillId="0" borderId="7" xfId="0" applyNumberFormat="1" applyFont="1" applyBorder="1" applyAlignment="1">
      <alignment horizontal="center"/>
    </xf>
    <xf numFmtId="1" fontId="32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wrapText="1"/>
    </xf>
    <xf numFmtId="164" fontId="35" fillId="0" borderId="2" xfId="0" applyNumberFormat="1" applyFont="1" applyBorder="1" applyAlignment="1">
      <alignment horizontal="center"/>
    </xf>
    <xf numFmtId="164" fontId="35" fillId="0" borderId="6" xfId="0" applyNumberFormat="1" applyFont="1" applyBorder="1" applyAlignment="1">
      <alignment horizontal="center"/>
    </xf>
    <xf numFmtId="1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1" fillId="10" borderId="8" xfId="0" applyFont="1" applyFill="1" applyBorder="1" applyAlignment="1">
      <alignment horizontal="center" wrapText="1"/>
    </xf>
    <xf numFmtId="2" fontId="34" fillId="10" borderId="7" xfId="0" applyNumberFormat="1" applyFont="1" applyFill="1" applyBorder="1" applyAlignment="1">
      <alignment horizontal="center"/>
    </xf>
    <xf numFmtId="1" fontId="35" fillId="0" borderId="7" xfId="0" applyNumberFormat="1" applyFont="1" applyBorder="1" applyAlignment="1">
      <alignment horizontal="center"/>
    </xf>
    <xf numFmtId="166" fontId="0" fillId="0" borderId="0" xfId="0" applyNumberFormat="1"/>
    <xf numFmtId="1" fontId="35" fillId="0" borderId="8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3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30" fillId="7" borderId="3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5" fillId="4" borderId="1" xfId="0" applyFont="1" applyFill="1" applyBorder="1" applyAlignment="1">
      <alignment horizontal="center" vertical="top" wrapText="1"/>
    </xf>
    <xf numFmtId="0" fontId="25" fillId="4" borderId="2" xfId="0" applyFont="1" applyFill="1" applyBorder="1" applyAlignment="1">
      <alignment horizontal="center" vertical="top" wrapText="1"/>
    </xf>
    <xf numFmtId="0" fontId="25" fillId="4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8" fillId="0" borderId="24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5" fillId="0" borderId="1" xfId="0" applyFont="1" applyBorder="1" applyAlignment="1">
      <alignment horizontal="center"/>
    </xf>
  </cellXfs>
  <cellStyles count="1">
    <cellStyle name="Standaard" xfId="0" builtinId="0"/>
  </cellStyles>
  <dxfs count="27"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theme="0" tint="-4.9989318521683403E-2"/>
        </patternFill>
      </fill>
    </dxf>
    <dxf>
      <fill>
        <patternFill>
          <bgColor rgb="FF00FF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rgb="FF00FF00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107</xdr:col>
      <xdr:colOff>291353</xdr:colOff>
      <xdr:row>0</xdr:row>
      <xdr:rowOff>0</xdr:rowOff>
    </xdr:from>
    <xdr:ext cx="2793009" cy="454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2CA3B87-EBDC-44F3-A8BB-1F01C5559F6A}"/>
                </a:ext>
              </a:extLst>
            </xdr:cNvPr>
            <xdr:cNvSpPr txBox="1"/>
          </xdr:nvSpPr>
          <xdr:spPr>
            <a:xfrm>
              <a:off x="7885355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000" i="1" kern="1200">
                        <a:latin typeface="Cambria Math" panose="02040503050406030204" pitchFamily="18" charset="0"/>
                      </a:rPr>
                      <m:t>𝜎</m:t>
                    </m:r>
                    <m:r>
                      <a:rPr lang="nl-NL" sz="1000" i="1" kern="1200" baseline="-25000">
                        <a:latin typeface="Cambria Math" panose="02040503050406030204" pitchFamily="18" charset="0"/>
                      </a:rPr>
                      <m:t>𝑓𝑎𝑏</m:t>
                    </m:r>
                    <m:r>
                      <a:rPr lang="nl-NL" sz="1000" i="1" kern="120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00" b="0" i="1" kern="1200">
                        <a:latin typeface="Cambria Math" panose="02040503050406030204" pitchFamily="18" charset="0"/>
                      </a:rPr>
                      <m:t>𝑓</m:t>
                    </m:r>
                    <m:rad>
                      <m:radPr>
                        <m:degHide m:val="on"/>
                        <m:ctrlP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l-GR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num>
                          <m:den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𝑏𝑒𝑙𝑎𝑠𝑡𝑖𝑛𝑔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den>
                        </m:f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  <m:r>
                          <a:rPr lang="en-US" sz="1000" b="0" i="1" baseline="30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f>
                              <m:fPr>
                                <m:ctrlP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l-GR" sz="10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num>
                              <m:den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𝑏𝑒𝑙𝑎𝑠𝑡𝑖𝑛𝑔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den>
                            </m:f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nl-NL" sz="1000" kern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2CA3B87-EBDC-44F3-A8BB-1F01C5559F6A}"/>
                </a:ext>
              </a:extLst>
            </xdr:cNvPr>
            <xdr:cNvSpPr txBox="1"/>
          </xdr:nvSpPr>
          <xdr:spPr>
            <a:xfrm>
              <a:off x="7885355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000" i="0" kern="1200">
                  <a:latin typeface="Cambria Math" panose="02040503050406030204" pitchFamily="18" charset="0"/>
                </a:rPr>
                <a:t>𝜎</a:t>
              </a:r>
              <a:r>
                <a:rPr lang="nl-NL" sz="1000" i="0" kern="1200" baseline="-25000">
                  <a:latin typeface="Cambria Math" panose="02040503050406030204" pitchFamily="18" charset="0"/>
                </a:rPr>
                <a:t>𝑓𝑎𝑏</a:t>
              </a:r>
              <a:r>
                <a:rPr lang="nl-NL" sz="1000" i="0" kern="1200">
                  <a:latin typeface="Cambria Math" panose="02040503050406030204" pitchFamily="18" charset="0"/>
                </a:rPr>
                <a:t>=</a:t>
              </a:r>
              <a:r>
                <a:rPr lang="en-US" sz="1000" b="0" i="0" kern="1200">
                  <a:latin typeface="Cambria Math" panose="02040503050406030204" pitchFamily="18" charset="0"/>
                </a:rPr>
                <a:t>𝑓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√((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+〖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2 )</a:t>
              </a:r>
              <a:endParaRPr lang="nl-NL" sz="1000" kern="1200"/>
            </a:p>
          </xdr:txBody>
        </xdr:sp>
      </mc:Fallback>
    </mc:AlternateContent>
    <xdr:clientData/>
  </xdr:oneCellAnchor>
  <xdr:oneCellAnchor>
    <xdr:from>
      <xdr:col>107</xdr:col>
      <xdr:colOff>291353</xdr:colOff>
      <xdr:row>0</xdr:row>
      <xdr:rowOff>0</xdr:rowOff>
    </xdr:from>
    <xdr:ext cx="2793009" cy="454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1F2CC4E-A406-44AF-BA03-327906DC9683}"/>
                </a:ext>
              </a:extLst>
            </xdr:cNvPr>
            <xdr:cNvSpPr txBox="1"/>
          </xdr:nvSpPr>
          <xdr:spPr>
            <a:xfrm>
              <a:off x="7885355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000" i="1" kern="1200">
                        <a:latin typeface="Cambria Math" panose="02040503050406030204" pitchFamily="18" charset="0"/>
                      </a:rPr>
                      <m:t>𝜎</m:t>
                    </m:r>
                    <m:r>
                      <a:rPr lang="nl-NL" sz="1000" i="1" kern="1200" baseline="-25000">
                        <a:latin typeface="Cambria Math" panose="02040503050406030204" pitchFamily="18" charset="0"/>
                      </a:rPr>
                      <m:t>𝑓𝑎𝑏</m:t>
                    </m:r>
                    <m:r>
                      <a:rPr lang="nl-NL" sz="1000" i="1" kern="120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00" b="0" i="1" kern="1200">
                        <a:latin typeface="Cambria Math" panose="02040503050406030204" pitchFamily="18" charset="0"/>
                      </a:rPr>
                      <m:t>𝑓</m:t>
                    </m:r>
                    <m:rad>
                      <m:radPr>
                        <m:degHide m:val="on"/>
                        <m:ctrlP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l-GR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num>
                          <m:den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𝑏𝑒𝑙𝑎𝑠𝑡𝑖𝑛𝑔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den>
                        </m:f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  <m:r>
                          <a:rPr lang="en-US" sz="1000" b="0" i="1" baseline="30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f>
                              <m:fPr>
                                <m:ctrlP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l-GR" sz="10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num>
                              <m:den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𝑏𝑒𝑙𝑎𝑠𝑡𝑖𝑛𝑔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den>
                            </m:f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nl-NL" sz="1000" kern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1F2CC4E-A406-44AF-BA03-327906DC9683}"/>
                </a:ext>
              </a:extLst>
            </xdr:cNvPr>
            <xdr:cNvSpPr txBox="1"/>
          </xdr:nvSpPr>
          <xdr:spPr>
            <a:xfrm>
              <a:off x="7885355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000" i="0" kern="1200">
                  <a:latin typeface="Cambria Math" panose="02040503050406030204" pitchFamily="18" charset="0"/>
                </a:rPr>
                <a:t>𝜎</a:t>
              </a:r>
              <a:r>
                <a:rPr lang="nl-NL" sz="1000" i="0" kern="1200" baseline="-25000">
                  <a:latin typeface="Cambria Math" panose="02040503050406030204" pitchFamily="18" charset="0"/>
                </a:rPr>
                <a:t>𝑓𝑎𝑏</a:t>
              </a:r>
              <a:r>
                <a:rPr lang="nl-NL" sz="1000" i="0" kern="1200">
                  <a:latin typeface="Cambria Math" panose="02040503050406030204" pitchFamily="18" charset="0"/>
                </a:rPr>
                <a:t>=</a:t>
              </a:r>
              <a:r>
                <a:rPr lang="en-US" sz="1000" b="0" i="0" kern="1200">
                  <a:latin typeface="Cambria Math" panose="02040503050406030204" pitchFamily="18" charset="0"/>
                </a:rPr>
                <a:t>𝑓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√((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+〖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2 )</a:t>
              </a:r>
              <a:endParaRPr lang="nl-NL" sz="1000" kern="1200"/>
            </a:p>
          </xdr:txBody>
        </xdr:sp>
      </mc:Fallback>
    </mc:AlternateContent>
    <xdr:clientData/>
  </xdr:oneCellAnchor>
  <xdr:oneCellAnchor>
    <xdr:from>
      <xdr:col>107</xdr:col>
      <xdr:colOff>291353</xdr:colOff>
      <xdr:row>0</xdr:row>
      <xdr:rowOff>0</xdr:rowOff>
    </xdr:from>
    <xdr:ext cx="2793009" cy="454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E0B6139-8706-4687-BDD5-1BDB89D67849}"/>
                </a:ext>
              </a:extLst>
            </xdr:cNvPr>
            <xdr:cNvSpPr txBox="1"/>
          </xdr:nvSpPr>
          <xdr:spPr>
            <a:xfrm>
              <a:off x="7891070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000" i="1" kern="1200">
                        <a:latin typeface="Cambria Math" panose="02040503050406030204" pitchFamily="18" charset="0"/>
                      </a:rPr>
                      <m:t>𝜎</m:t>
                    </m:r>
                    <m:r>
                      <a:rPr lang="nl-NL" sz="1000" i="1" kern="1200" baseline="-25000">
                        <a:latin typeface="Cambria Math" panose="02040503050406030204" pitchFamily="18" charset="0"/>
                      </a:rPr>
                      <m:t>𝑓𝑎𝑏</m:t>
                    </m:r>
                    <m:r>
                      <a:rPr lang="nl-NL" sz="1000" i="1" kern="120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00" b="0" i="1" kern="1200">
                        <a:latin typeface="Cambria Math" panose="02040503050406030204" pitchFamily="18" charset="0"/>
                      </a:rPr>
                      <m:t>𝑓</m:t>
                    </m:r>
                    <m:rad>
                      <m:radPr>
                        <m:degHide m:val="on"/>
                        <m:ctrlP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l-GR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num>
                          <m:den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𝑏𝑒𝑙𝑎𝑠𝑡𝑖𝑛𝑔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den>
                        </m:f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  <m:r>
                          <a:rPr lang="en-US" sz="1000" b="0" i="1" baseline="30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f>
                              <m:fPr>
                                <m:ctrlP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l-GR" sz="10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num>
                              <m:den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𝑏𝑒𝑙𝑎𝑠𝑡𝑖𝑛𝑔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den>
                            </m:f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nl-NL" sz="1000" kern="12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E0B6139-8706-4687-BDD5-1BDB89D67849}"/>
                </a:ext>
              </a:extLst>
            </xdr:cNvPr>
            <xdr:cNvSpPr txBox="1"/>
          </xdr:nvSpPr>
          <xdr:spPr>
            <a:xfrm>
              <a:off x="7891070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000" i="0" kern="1200">
                  <a:latin typeface="Cambria Math" panose="02040503050406030204" pitchFamily="18" charset="0"/>
                </a:rPr>
                <a:t>𝜎</a:t>
              </a:r>
              <a:r>
                <a:rPr lang="nl-NL" sz="1000" i="0" kern="1200" baseline="-25000">
                  <a:latin typeface="Cambria Math" panose="02040503050406030204" pitchFamily="18" charset="0"/>
                </a:rPr>
                <a:t>𝑓𝑎𝑏</a:t>
              </a:r>
              <a:r>
                <a:rPr lang="nl-NL" sz="1000" i="0" kern="1200">
                  <a:latin typeface="Cambria Math" panose="02040503050406030204" pitchFamily="18" charset="0"/>
                </a:rPr>
                <a:t>=</a:t>
              </a:r>
              <a:r>
                <a:rPr lang="en-US" sz="1000" b="0" i="0" kern="1200">
                  <a:latin typeface="Cambria Math" panose="02040503050406030204" pitchFamily="18" charset="0"/>
                </a:rPr>
                <a:t>𝑓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√((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+〖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2 )</a:t>
              </a:r>
              <a:endParaRPr lang="nl-NL" sz="1000" kern="12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0</xdr:colOff>
      <xdr:row>0</xdr:row>
      <xdr:rowOff>0</xdr:rowOff>
    </xdr:from>
    <xdr:ext cx="2793009" cy="454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4DABE5D-625A-4ABB-BBE9-C1F68BD209F6}"/>
                </a:ext>
              </a:extLst>
            </xdr:cNvPr>
            <xdr:cNvSpPr txBox="1"/>
          </xdr:nvSpPr>
          <xdr:spPr>
            <a:xfrm>
              <a:off x="8824647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000" i="1" kern="1200">
                        <a:latin typeface="Cambria Math" panose="02040503050406030204" pitchFamily="18" charset="0"/>
                      </a:rPr>
                      <m:t>𝜎</m:t>
                    </m:r>
                    <m:r>
                      <a:rPr lang="nl-NL" sz="1000" i="1" kern="1200" baseline="-25000">
                        <a:latin typeface="Cambria Math" panose="02040503050406030204" pitchFamily="18" charset="0"/>
                      </a:rPr>
                      <m:t>𝑓𝑎𝑏</m:t>
                    </m:r>
                    <m:r>
                      <a:rPr lang="nl-NL" sz="1000" i="1" kern="120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00" b="0" i="1" kern="1200">
                        <a:latin typeface="Cambria Math" panose="02040503050406030204" pitchFamily="18" charset="0"/>
                      </a:rPr>
                      <m:t>𝑓</m:t>
                    </m:r>
                    <m:rad>
                      <m:radPr>
                        <m:degHide m:val="on"/>
                        <m:ctrlP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l-GR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num>
                          <m:den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𝑏𝑒𝑙𝑎𝑠𝑡𝑖𝑛𝑔</m:t>
                            </m:r>
                            <m:r>
                              <a:rPr lang="en-US" sz="1000" b="0" i="1" baseline="-250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𝑛𝑎𝑡𝑢𝑢𝑟𝑙𝑖𝑗𝑘</m:t>
                            </m:r>
                          </m:den>
                        </m:f>
                        <m:r>
                          <a:rPr lang="en-US" sz="10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  <m:r>
                          <a:rPr lang="en-US" sz="1000" b="0" i="1" baseline="30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000" b="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f>
                              <m:fPr>
                                <m:ctrlP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l-GR" sz="10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𝜎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num>
                              <m:den>
                                <m:r>
                                  <a:rPr lang="en-US" sz="10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𝑏𝑒𝑙𝑎𝑠𝑡𝑖𝑛𝑔</m:t>
                                </m:r>
                                <m:r>
                                  <a:rPr lang="en-US" sz="1000" b="0" i="1" baseline="-250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𝑡𝑜𝑡𝑎𝑎𝑙</m:t>
                                </m:r>
                              </m:den>
                            </m:f>
                            <m:r>
                              <a:rPr lang="en-US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en-US" sz="1000" b="0" i="1" kern="12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nl-NL" sz="1000" kern="12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4DABE5D-625A-4ABB-BBE9-C1F68BD209F6}"/>
                </a:ext>
              </a:extLst>
            </xdr:cNvPr>
            <xdr:cNvSpPr txBox="1"/>
          </xdr:nvSpPr>
          <xdr:spPr>
            <a:xfrm>
              <a:off x="88246473" y="0"/>
              <a:ext cx="2793009" cy="454676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l-GR" sz="1000" i="0" kern="1200">
                  <a:latin typeface="Cambria Math" panose="02040503050406030204" pitchFamily="18" charset="0"/>
                </a:rPr>
                <a:t>𝜎</a:t>
              </a:r>
              <a:r>
                <a:rPr lang="nl-NL" sz="1000" i="0" kern="1200" baseline="-25000">
                  <a:latin typeface="Cambria Math" panose="02040503050406030204" pitchFamily="18" charset="0"/>
                </a:rPr>
                <a:t>𝑓𝑎𝑏</a:t>
              </a:r>
              <a:r>
                <a:rPr lang="nl-NL" sz="1000" i="0" kern="1200">
                  <a:latin typeface="Cambria Math" panose="02040503050406030204" pitchFamily="18" charset="0"/>
                </a:rPr>
                <a:t>=</a:t>
              </a:r>
              <a:r>
                <a:rPr lang="en-US" sz="1000" b="0" i="0" kern="1200">
                  <a:latin typeface="Cambria Math" panose="02040503050406030204" pitchFamily="18" charset="0"/>
                </a:rPr>
                <a:t>𝑓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√((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𝑛𝑎𝑡𝑢𝑢𝑟𝑙𝑖𝑗𝑘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+〖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l-GR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𝑡𝑜𝑡𝑎𝑎𝑙/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𝑏𝑒𝑙𝑎𝑠𝑡𝑖𝑛𝑔</a:t>
              </a:r>
              <a:r>
                <a:rPr lang="en-US" sz="1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𝑡𝑜𝑡𝑎𝑎𝑙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</a:t>
              </a:r>
              <a:r>
                <a:rPr lang="en-US" sz="10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2 )</a:t>
              </a:r>
              <a:endParaRPr lang="nl-NL" sz="1000" kern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198E-7E97-41DE-B895-83E4D56D3C64}">
  <dimension ref="A1:DK73"/>
  <sheetViews>
    <sheetView zoomScaleNormal="100" workbookViewId="0"/>
  </sheetViews>
  <sheetFormatPr defaultColWidth="8.88671875" defaultRowHeight="14.4" x14ac:dyDescent="0.3"/>
  <cols>
    <col min="1" max="1" width="8.88671875" style="5"/>
    <col min="2" max="2" width="24.109375" bestFit="1" customWidth="1"/>
    <col min="3" max="4" width="11.6640625" customWidth="1"/>
    <col min="5" max="6" width="9.6640625" customWidth="1"/>
    <col min="7" max="7" width="10.6640625" bestFit="1" customWidth="1"/>
    <col min="8" max="8" width="10.5546875" bestFit="1" customWidth="1"/>
    <col min="9" max="9" width="11.109375" customWidth="1"/>
    <col min="10" max="10" width="10.6640625" customWidth="1"/>
    <col min="11" max="11" width="7.6640625" customWidth="1"/>
    <col min="12" max="12" width="10.6640625" customWidth="1"/>
    <col min="13" max="13" width="9.33203125" customWidth="1"/>
    <col min="14" max="14" width="11.33203125" customWidth="1"/>
    <col min="15" max="15" width="9.33203125" customWidth="1"/>
    <col min="16" max="16" width="8.33203125" customWidth="1"/>
    <col min="17" max="17" width="10.88671875" customWidth="1"/>
    <col min="18" max="18" width="8.33203125" customWidth="1"/>
    <col min="19" max="19" width="10" customWidth="1"/>
    <col min="20" max="23" width="12.6640625" customWidth="1"/>
    <col min="24" max="24" width="8.109375" customWidth="1"/>
    <col min="25" max="25" width="8.44140625" customWidth="1"/>
    <col min="26" max="26" width="12.33203125" bestFit="1" customWidth="1"/>
    <col min="27" max="27" width="9.33203125" bestFit="1" customWidth="1"/>
    <col min="28" max="28" width="12" customWidth="1"/>
    <col min="29" max="29" width="10.33203125" bestFit="1" customWidth="1"/>
    <col min="30" max="30" width="9.33203125" bestFit="1" customWidth="1"/>
    <col min="31" max="31" width="10.33203125" bestFit="1" customWidth="1"/>
    <col min="32" max="32" width="36.6640625" bestFit="1" customWidth="1"/>
    <col min="33" max="34" width="9.33203125" bestFit="1" customWidth="1"/>
    <col min="35" max="36" width="8.6640625" bestFit="1" customWidth="1"/>
    <col min="37" max="37" width="9.33203125" bestFit="1" customWidth="1"/>
    <col min="38" max="38" width="10.44140625" customWidth="1"/>
    <col min="39" max="39" width="9.33203125" bestFit="1" customWidth="1"/>
    <col min="40" max="40" width="10.33203125" bestFit="1" customWidth="1"/>
    <col min="41" max="43" width="10.6640625" customWidth="1"/>
    <col min="44" max="47" width="8.6640625" bestFit="1" customWidth="1"/>
    <col min="48" max="48" width="9.88671875" customWidth="1"/>
    <col min="49" max="49" width="9.33203125" bestFit="1" customWidth="1"/>
    <col min="50" max="51" width="8.6640625" bestFit="1" customWidth="1"/>
    <col min="52" max="52" width="9.33203125" bestFit="1" customWidth="1"/>
    <col min="53" max="53" width="9.5546875" customWidth="1"/>
    <col min="54" max="54" width="12.33203125" customWidth="1"/>
    <col min="57" max="57" width="23.88671875" bestFit="1" customWidth="1"/>
    <col min="63" max="63" width="12.6640625" customWidth="1"/>
    <col min="74" max="74" width="9.33203125" customWidth="1"/>
    <col min="79" max="79" width="10.33203125" customWidth="1"/>
    <col min="80" max="80" width="3.33203125" customWidth="1"/>
    <col min="81" max="81" width="18.33203125" customWidth="1"/>
    <col min="82" max="82" width="11.5546875" bestFit="1" customWidth="1"/>
    <col min="83" max="84" width="12.33203125" customWidth="1"/>
    <col min="85" max="85" width="10.33203125" customWidth="1"/>
    <col min="93" max="93" width="3.44140625" customWidth="1"/>
    <col min="94" max="94" width="18.6640625" bestFit="1" customWidth="1"/>
    <col min="95" max="95" width="9.44140625" customWidth="1"/>
    <col min="96" max="96" width="11.6640625" customWidth="1"/>
    <col min="97" max="97" width="12.88671875" customWidth="1"/>
    <col min="98" max="98" width="19" customWidth="1"/>
    <col min="100" max="100" width="10.6640625" customWidth="1"/>
    <col min="101" max="102" width="10.33203125" customWidth="1"/>
    <col min="111" max="111" width="8.5546875" customWidth="1"/>
    <col min="112" max="112" width="10" customWidth="1"/>
    <col min="113" max="113" width="10.33203125" customWidth="1"/>
    <col min="114" max="114" width="10.109375" customWidth="1"/>
  </cols>
  <sheetData>
    <row r="1" spans="1:115" s="5" customFormat="1" ht="15.6" x14ac:dyDescent="0.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CB1" s="6" t="s">
        <v>1</v>
      </c>
      <c r="CC1" s="7">
        <v>1.25</v>
      </c>
      <c r="CD1" s="7">
        <v>1.3</v>
      </c>
      <c r="CE1" s="7">
        <v>1.25</v>
      </c>
      <c r="CF1" s="7">
        <v>1.25</v>
      </c>
      <c r="CG1" s="7">
        <v>1.25</v>
      </c>
      <c r="CH1" s="7">
        <f>2-CC1</f>
        <v>0.75</v>
      </c>
      <c r="CI1" s="7">
        <v>0.75</v>
      </c>
      <c r="CJ1" s="7">
        <v>0.9</v>
      </c>
      <c r="CK1" s="7">
        <v>0.75</v>
      </c>
      <c r="CL1" s="7">
        <v>0.75</v>
      </c>
      <c r="CM1" s="7">
        <v>0.75</v>
      </c>
      <c r="CT1" s="8"/>
    </row>
    <row r="2" spans="1:115" x14ac:dyDescent="0.3">
      <c r="A2" s="9" t="s">
        <v>2</v>
      </c>
      <c r="F2" s="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8"/>
      <c r="AD2" s="8"/>
      <c r="AE2" s="8"/>
      <c r="CB2" s="6" t="s">
        <v>3</v>
      </c>
      <c r="CC2" s="7">
        <f>2-CC1</f>
        <v>0.75</v>
      </c>
      <c r="CD2" s="7">
        <v>0.9</v>
      </c>
      <c r="CE2" s="7">
        <f t="shared" ref="CE2:CM2" si="0">2-CE1</f>
        <v>0.75</v>
      </c>
      <c r="CF2" s="7">
        <f t="shared" si="0"/>
        <v>0.75</v>
      </c>
      <c r="CG2" s="7">
        <f t="shared" si="0"/>
        <v>0.75</v>
      </c>
      <c r="CH2" s="7">
        <f t="shared" si="0"/>
        <v>1.25</v>
      </c>
      <c r="CI2" s="7">
        <f t="shared" si="0"/>
        <v>1.25</v>
      </c>
      <c r="CJ2" s="7">
        <f t="shared" si="0"/>
        <v>1.1000000000000001</v>
      </c>
      <c r="CK2" s="7">
        <f t="shared" si="0"/>
        <v>1.25</v>
      </c>
      <c r="CL2" s="7">
        <f t="shared" si="0"/>
        <v>1.25</v>
      </c>
      <c r="CM2" s="7">
        <f t="shared" si="0"/>
        <v>1.25</v>
      </c>
      <c r="CR2" s="7"/>
      <c r="CY2" s="10"/>
    </row>
    <row r="3" spans="1:115" ht="14.7" customHeight="1" x14ac:dyDescent="0.3">
      <c r="A3" s="9"/>
      <c r="B3" s="9"/>
      <c r="C3" s="353" t="s">
        <v>4</v>
      </c>
      <c r="D3" s="354"/>
      <c r="E3" s="354"/>
      <c r="F3" s="355"/>
      <c r="G3" s="350" t="s">
        <v>5</v>
      </c>
      <c r="H3" s="350"/>
      <c r="I3" s="350"/>
      <c r="J3" s="350"/>
      <c r="K3" s="350"/>
      <c r="L3" s="350"/>
      <c r="M3" s="356"/>
      <c r="N3" s="11" t="s">
        <v>6</v>
      </c>
      <c r="O3" s="349" t="s">
        <v>7</v>
      </c>
      <c r="P3" s="350"/>
      <c r="Q3" s="356"/>
      <c r="R3" s="349" t="s">
        <v>8</v>
      </c>
      <c r="S3" s="350"/>
      <c r="T3" s="350"/>
      <c r="U3" s="350"/>
      <c r="V3" s="350"/>
      <c r="W3" s="350"/>
      <c r="X3" s="350"/>
      <c r="Y3" s="356"/>
      <c r="Z3" s="349" t="s">
        <v>9</v>
      </c>
      <c r="AA3" s="350"/>
      <c r="AB3" s="356"/>
      <c r="AC3" s="349" t="s">
        <v>10</v>
      </c>
      <c r="AD3" s="350"/>
      <c r="AE3" s="350"/>
      <c r="AF3" s="12" t="s">
        <v>11</v>
      </c>
      <c r="AG3" s="346" t="s">
        <v>5</v>
      </c>
      <c r="AH3" s="347"/>
      <c r="AI3" s="347"/>
      <c r="AJ3" s="347"/>
      <c r="AK3" s="347"/>
      <c r="AL3" s="347"/>
      <c r="AM3" s="348"/>
      <c r="AN3" s="13"/>
      <c r="AO3" s="346" t="s">
        <v>7</v>
      </c>
      <c r="AP3" s="347"/>
      <c r="AQ3" s="348"/>
      <c r="AR3" s="346" t="s">
        <v>8</v>
      </c>
      <c r="AS3" s="347"/>
      <c r="AT3" s="347"/>
      <c r="AU3" s="347"/>
      <c r="AV3" s="347"/>
      <c r="AW3" s="347"/>
      <c r="AX3" s="347"/>
      <c r="AY3" s="348"/>
      <c r="AZ3" s="346" t="s">
        <v>12</v>
      </c>
      <c r="BA3" s="348"/>
      <c r="BB3" s="14" t="s">
        <v>13</v>
      </c>
      <c r="CC3" s="330" t="s">
        <v>14</v>
      </c>
      <c r="CD3" s="331"/>
      <c r="CE3" s="331"/>
      <c r="CF3" s="331"/>
      <c r="CG3" s="332"/>
      <c r="CH3" s="333" t="s">
        <v>15</v>
      </c>
      <c r="CI3" s="334"/>
      <c r="CJ3" s="334"/>
      <c r="CK3" s="334"/>
      <c r="CL3" s="334"/>
      <c r="CM3" s="335"/>
      <c r="CP3" s="15"/>
      <c r="CQ3" s="339" t="s">
        <v>16</v>
      </c>
      <c r="CR3" s="339"/>
      <c r="CS3" s="340"/>
      <c r="CT3" t="s">
        <v>17</v>
      </c>
      <c r="DG3" s="15"/>
      <c r="DH3" s="310" t="s">
        <v>18</v>
      </c>
      <c r="DI3" s="310"/>
      <c r="DJ3" s="311"/>
    </row>
    <row r="4" spans="1:115" s="16" customFormat="1" ht="43.2" customHeight="1" x14ac:dyDescent="0.3">
      <c r="A4" s="17" t="s">
        <v>19</v>
      </c>
      <c r="B4" s="18" t="s">
        <v>20</v>
      </c>
      <c r="C4" s="19" t="s">
        <v>21</v>
      </c>
      <c r="D4" s="20" t="s">
        <v>22</v>
      </c>
      <c r="E4" s="20" t="s">
        <v>23</v>
      </c>
      <c r="F4" s="21" t="s">
        <v>24</v>
      </c>
      <c r="G4" s="22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3" t="s">
        <v>31</v>
      </c>
      <c r="N4" s="24" t="s">
        <v>32</v>
      </c>
      <c r="O4" s="25" t="s">
        <v>33</v>
      </c>
      <c r="P4" s="22" t="s">
        <v>34</v>
      </c>
      <c r="Q4" s="23" t="s">
        <v>35</v>
      </c>
      <c r="R4" s="25" t="s">
        <v>36</v>
      </c>
      <c r="S4" s="22" t="s">
        <v>37</v>
      </c>
      <c r="T4" s="22" t="s">
        <v>38</v>
      </c>
      <c r="U4" s="22" t="s">
        <v>39</v>
      </c>
      <c r="V4" s="22" t="s">
        <v>40</v>
      </c>
      <c r="W4" s="22" t="s">
        <v>41</v>
      </c>
      <c r="X4" s="22" t="s">
        <v>42</v>
      </c>
      <c r="Y4" s="23" t="s">
        <v>43</v>
      </c>
      <c r="Z4" s="26" t="s">
        <v>44</v>
      </c>
      <c r="AA4" s="22" t="s">
        <v>45</v>
      </c>
      <c r="AB4" s="27" t="s">
        <v>46</v>
      </c>
      <c r="AC4" s="25" t="s">
        <v>47</v>
      </c>
      <c r="AD4" s="22" t="s">
        <v>48</v>
      </c>
      <c r="AE4" s="22" t="s">
        <v>49</v>
      </c>
      <c r="AF4" s="28" t="s">
        <v>20</v>
      </c>
      <c r="AG4" s="29" t="s">
        <v>25</v>
      </c>
      <c r="AH4" s="30" t="s">
        <v>26</v>
      </c>
      <c r="AI4" s="30" t="s">
        <v>27</v>
      </c>
      <c r="AJ4" s="30" t="s">
        <v>28</v>
      </c>
      <c r="AK4" s="30" t="s">
        <v>29</v>
      </c>
      <c r="AL4" s="30" t="s">
        <v>30</v>
      </c>
      <c r="AM4" s="27" t="s">
        <v>31</v>
      </c>
      <c r="AN4" s="31" t="s">
        <v>32</v>
      </c>
      <c r="AO4" s="29" t="s">
        <v>33</v>
      </c>
      <c r="AP4" s="30" t="s">
        <v>34</v>
      </c>
      <c r="AQ4" s="27" t="s">
        <v>35</v>
      </c>
      <c r="AR4" s="29" t="s">
        <v>36</v>
      </c>
      <c r="AS4" s="30" t="s">
        <v>37</v>
      </c>
      <c r="AT4" s="30" t="s">
        <v>38</v>
      </c>
      <c r="AU4" s="30" t="s">
        <v>39</v>
      </c>
      <c r="AV4" s="30" t="s">
        <v>40</v>
      </c>
      <c r="AW4" s="30" t="s">
        <v>41</v>
      </c>
      <c r="AX4" s="30" t="s">
        <v>42</v>
      </c>
      <c r="AY4" s="27" t="s">
        <v>43</v>
      </c>
      <c r="AZ4" s="29" t="s">
        <v>44</v>
      </c>
      <c r="BA4" s="27" t="s">
        <v>45</v>
      </c>
      <c r="BB4" s="27"/>
      <c r="BD4" s="32" t="s">
        <v>50</v>
      </c>
      <c r="BE4" s="33" t="s">
        <v>51</v>
      </c>
      <c r="BF4" s="34" t="str">
        <f>G4</f>
        <v>Bemesting
actueel</v>
      </c>
      <c r="BG4" s="34" t="str">
        <f t="shared" ref="BG4:BY4" si="1">H4</f>
        <v>Bemesting
historisch</v>
      </c>
      <c r="BH4" s="34" t="str">
        <f t="shared" si="1"/>
        <v>Depositie</v>
      </c>
      <c r="BI4" s="34" t="str">
        <f t="shared" si="1"/>
        <v>Infiltratie</v>
      </c>
      <c r="BJ4" s="34" t="str">
        <f t="shared" si="1"/>
        <v>Kwel</v>
      </c>
      <c r="BK4" s="34" t="str">
        <f t="shared" si="1"/>
        <v>Mineralisatie
en uitloging</v>
      </c>
      <c r="BL4" s="34" t="str">
        <f t="shared" si="1"/>
        <v>Natuur-
gronden</v>
      </c>
      <c r="BM4" s="34" t="str">
        <f t="shared" si="1"/>
        <v>Directe kwel</v>
      </c>
      <c r="BN4" s="34" t="str">
        <f t="shared" si="1"/>
        <v>Erfaf-
spoeling</v>
      </c>
      <c r="BO4" s="34" t="str">
        <f t="shared" si="1"/>
        <v>Glas-
tuinbouw</v>
      </c>
      <c r="BP4" s="34" t="str">
        <f t="shared" si="1"/>
        <v>Mee-
mesten</v>
      </c>
      <c r="BQ4" s="34" t="str">
        <f t="shared" si="1"/>
        <v>RWZI</v>
      </c>
      <c r="BR4" s="34" t="str">
        <f t="shared" si="1"/>
        <v>Industrie</v>
      </c>
      <c r="BS4" s="34" t="str">
        <f t="shared" si="1"/>
        <v>Depositie
open water</v>
      </c>
      <c r="BT4" s="34" t="str">
        <f t="shared" si="1"/>
        <v>Overstort</v>
      </c>
      <c r="BU4" s="34" t="str">
        <f t="shared" si="1"/>
        <v>Regen
waterriolen</v>
      </c>
      <c r="BV4" s="34" t="str">
        <f t="shared" si="1"/>
        <v>Water-
vogels</v>
      </c>
      <c r="BW4" s="34" t="str">
        <f t="shared" si="1"/>
        <v>Binnen-
vaart</v>
      </c>
      <c r="BX4" s="34" t="str">
        <f t="shared" si="1"/>
        <v>Overige</v>
      </c>
      <c r="BY4" s="34" t="str">
        <f t="shared" si="1"/>
        <v>Inlaat Rijkswater</v>
      </c>
      <c r="BZ4" s="35" t="s">
        <v>52</v>
      </c>
      <c r="CA4" s="312" t="s">
        <v>53</v>
      </c>
      <c r="CB4" s="313"/>
      <c r="CC4" s="36" t="s">
        <v>54</v>
      </c>
      <c r="CD4" s="37" t="s">
        <v>55</v>
      </c>
      <c r="CE4" s="37" t="s">
        <v>56</v>
      </c>
      <c r="CF4" s="37" t="s">
        <v>57</v>
      </c>
      <c r="CG4" s="38" t="s">
        <v>58</v>
      </c>
      <c r="CH4" s="39" t="s">
        <v>59</v>
      </c>
      <c r="CI4" s="40" t="s">
        <v>60</v>
      </c>
      <c r="CJ4" s="40" t="s">
        <v>61</v>
      </c>
      <c r="CK4" s="40" t="s">
        <v>62</v>
      </c>
      <c r="CL4" s="40" t="s">
        <v>63</v>
      </c>
      <c r="CM4" s="41" t="s">
        <v>64</v>
      </c>
      <c r="CN4" s="16" t="s">
        <v>52</v>
      </c>
      <c r="CO4" s="42" t="s">
        <v>65</v>
      </c>
      <c r="CP4" s="43"/>
      <c r="CQ4" s="44" t="s">
        <v>66</v>
      </c>
      <c r="CR4" s="45" t="s">
        <v>67</v>
      </c>
      <c r="CS4" s="46" t="s">
        <v>68</v>
      </c>
      <c r="CT4" s="47" t="s">
        <v>54</v>
      </c>
      <c r="CU4" s="47" t="s">
        <v>55</v>
      </c>
      <c r="CV4" s="47" t="s">
        <v>56</v>
      </c>
      <c r="CW4" s="47" t="s">
        <v>69</v>
      </c>
      <c r="CX4" s="48" t="s">
        <v>58</v>
      </c>
      <c r="CY4" s="49" t="s">
        <v>59</v>
      </c>
      <c r="CZ4" s="50" t="s">
        <v>60</v>
      </c>
      <c r="DA4" s="50" t="s">
        <v>61</v>
      </c>
      <c r="DB4" s="50" t="s">
        <v>62</v>
      </c>
      <c r="DC4" s="50" t="s">
        <v>63</v>
      </c>
      <c r="DD4" s="51" t="s">
        <v>64</v>
      </c>
      <c r="DE4" s="52" t="s">
        <v>70</v>
      </c>
      <c r="DF4" s="52" t="s">
        <v>71</v>
      </c>
      <c r="DG4" s="53" t="s">
        <v>72</v>
      </c>
      <c r="DH4" s="54" t="s">
        <v>66</v>
      </c>
      <c r="DI4" s="55" t="s">
        <v>73</v>
      </c>
      <c r="DJ4" s="56" t="s">
        <v>74</v>
      </c>
    </row>
    <row r="5" spans="1:115" x14ac:dyDescent="0.3">
      <c r="A5" s="57">
        <v>37101</v>
      </c>
      <c r="B5" s="9" t="s">
        <v>75</v>
      </c>
      <c r="C5" s="58">
        <f t="shared" ref="C5:C18" si="2">(SUMPRODUCT(G5:AA5,$G$19:$AA$19)+SUMPRODUCT(AG5:BA5,$AG$19:$BA$19))/AC5</f>
        <v>0.95123020103633615</v>
      </c>
      <c r="D5" s="59">
        <f>C5*F5</f>
        <v>0.96677789466706787</v>
      </c>
      <c r="E5" s="59">
        <v>2</v>
      </c>
      <c r="F5" s="60">
        <v>1.0163448275862068</v>
      </c>
      <c r="G5" s="61">
        <v>1330.4883980370471</v>
      </c>
      <c r="H5" s="61">
        <v>221.92576908029719</v>
      </c>
      <c r="I5" s="61">
        <v>182.96426594878571</v>
      </c>
      <c r="J5" s="61">
        <v>2.2889735813250249</v>
      </c>
      <c r="K5" s="61">
        <v>1745.2536537120379</v>
      </c>
      <c r="L5" s="61">
        <v>544.4727162566677</v>
      </c>
      <c r="M5" s="62">
        <v>3606.848512529999</v>
      </c>
      <c r="N5" s="63">
        <v>46211.446742082298</v>
      </c>
      <c r="O5" s="61">
        <v>197.04857151739969</v>
      </c>
      <c r="P5" s="61">
        <v>0.32775971700353929</v>
      </c>
      <c r="Q5" s="62">
        <v>702.09618242361796</v>
      </c>
      <c r="R5" s="61">
        <v>0</v>
      </c>
      <c r="S5" s="61">
        <v>0</v>
      </c>
      <c r="T5" s="61">
        <v>3226.882237042933</v>
      </c>
      <c r="U5" s="61">
        <v>18.089857196096631</v>
      </c>
      <c r="V5" s="61">
        <v>630.39763227292292</v>
      </c>
      <c r="W5" s="61">
        <v>21.865347741081521</v>
      </c>
      <c r="X5" s="61">
        <v>0</v>
      </c>
      <c r="Y5" s="62">
        <v>65.383318403622724</v>
      </c>
      <c r="Z5" s="65">
        <v>0</v>
      </c>
      <c r="AA5" s="61"/>
      <c r="AB5" s="66">
        <f>SUM(AG5:BA5)</f>
        <v>0</v>
      </c>
      <c r="AC5" s="64">
        <f t="shared" ref="AC5:AC18" si="3">SUM(G5:AB5)</f>
        <v>58707.779937543128</v>
      </c>
      <c r="AD5" s="61">
        <v>34327.7410954441</v>
      </c>
      <c r="AE5" s="62">
        <f>AC5-AD5</f>
        <v>24380.038842099028</v>
      </c>
      <c r="AF5" s="67" t="s">
        <v>76</v>
      </c>
      <c r="AG5" s="68"/>
      <c r="AH5" s="69"/>
      <c r="AI5" s="69"/>
      <c r="AJ5" s="69"/>
      <c r="AK5" s="69"/>
      <c r="AL5" s="69"/>
      <c r="AM5" s="66"/>
      <c r="AN5" s="69"/>
      <c r="AO5" s="68"/>
      <c r="AP5" s="69"/>
      <c r="AQ5" s="66"/>
      <c r="AR5" s="68"/>
      <c r="AS5" s="69"/>
      <c r="AT5" s="69"/>
      <c r="AU5" s="69"/>
      <c r="AV5" s="69"/>
      <c r="AW5" s="69"/>
      <c r="AX5" s="69"/>
      <c r="AY5" s="66"/>
      <c r="AZ5" s="68"/>
      <c r="BA5" s="66"/>
      <c r="BB5" s="70"/>
      <c r="BC5" s="10">
        <f>BB5-AB5</f>
        <v>0</v>
      </c>
      <c r="BD5" s="71">
        <f t="shared" ref="BD5:BE18" si="4">A5</f>
        <v>37101</v>
      </c>
      <c r="BE5" s="8" t="str">
        <f t="shared" si="4"/>
        <v>Tochten ABC1</v>
      </c>
      <c r="BF5" s="7">
        <f>(G5+AG5)/$AC5</f>
        <v>2.2662897480580951E-2</v>
      </c>
      <c r="BG5" s="7">
        <f t="shared" ref="BG5:BV18" si="5">(H5+AH5)/$AC5</f>
        <v>3.7801764828510834E-3</v>
      </c>
      <c r="BH5" s="7">
        <f t="shared" si="5"/>
        <v>3.1165250354115606E-3</v>
      </c>
      <c r="BI5" s="7">
        <f t="shared" si="5"/>
        <v>3.8989271673365488E-5</v>
      </c>
      <c r="BJ5" s="7">
        <f t="shared" si="5"/>
        <v>2.9727808743044686E-2</v>
      </c>
      <c r="BK5" s="7">
        <f t="shared" si="5"/>
        <v>9.2742855688958195E-3</v>
      </c>
      <c r="BL5" s="7">
        <f t="shared" si="5"/>
        <v>6.1437317445271845E-2</v>
      </c>
      <c r="BM5" s="7">
        <f t="shared" si="5"/>
        <v>0.78714348918056209</v>
      </c>
      <c r="BN5" s="7">
        <f t="shared" si="5"/>
        <v>3.356430301521056E-3</v>
      </c>
      <c r="BO5" s="7">
        <f t="shared" si="5"/>
        <v>5.5829008923898984E-6</v>
      </c>
      <c r="BP5" s="7">
        <f t="shared" si="5"/>
        <v>1.1959167646443966E-2</v>
      </c>
      <c r="BQ5" s="7">
        <f t="shared" si="5"/>
        <v>0</v>
      </c>
      <c r="BR5" s="7">
        <f t="shared" si="5"/>
        <v>0</v>
      </c>
      <c r="BS5" s="7">
        <f t="shared" si="5"/>
        <v>5.4965155222627814E-2</v>
      </c>
      <c r="BT5" s="7">
        <f t="shared" si="5"/>
        <v>3.0813390006131572E-4</v>
      </c>
      <c r="BU5" s="7">
        <f t="shared" si="5"/>
        <v>1.0737889134005371E-2</v>
      </c>
      <c r="BV5" s="7">
        <f t="shared" si="5"/>
        <v>3.724437845263983E-4</v>
      </c>
      <c r="BW5" s="7">
        <f t="shared" ref="BW5:BY18" si="6">(X5+AX5)/$AC5</f>
        <v>0</v>
      </c>
      <c r="BX5" s="7">
        <f t="shared" si="6"/>
        <v>1.1137079016304387E-3</v>
      </c>
      <c r="BY5" s="7">
        <f t="shared" si="6"/>
        <v>0</v>
      </c>
      <c r="BZ5" s="72">
        <f>SUM(BF5:BY5)</f>
        <v>1.0000000000000002</v>
      </c>
      <c r="CA5" s="73">
        <f>SUMPRODUCT(BF5:BY5,BF19:BY19)</f>
        <v>0.95123020103633615</v>
      </c>
      <c r="CB5" s="74">
        <f>C5-CA5</f>
        <v>0</v>
      </c>
      <c r="CC5" s="75">
        <f>SUM(I5:M5)+SUM(AI5:AM5)</f>
        <v>6081.8281220288154</v>
      </c>
      <c r="CD5" s="76">
        <f>N5+AN5</f>
        <v>46211.446742082298</v>
      </c>
      <c r="CE5" s="76">
        <f>T5+W5+AT5+AW5</f>
        <v>3248.7475847840146</v>
      </c>
      <c r="CF5" s="76">
        <f>(V5+AV5)*AV$19</f>
        <v>302.59086349100301</v>
      </c>
      <c r="CG5" s="77">
        <f>(Z5+AZ5)*AZ$19</f>
        <v>0</v>
      </c>
      <c r="CH5" s="78">
        <f>G5+H5+AG5+AH5</f>
        <v>1552.4141671173443</v>
      </c>
      <c r="CI5" s="79">
        <f>O5+AO5</f>
        <v>197.04857151739969</v>
      </c>
      <c r="CJ5" s="79">
        <f>R5+AR5</f>
        <v>0</v>
      </c>
      <c r="CK5" s="79">
        <f>(V5+AV5)*(1-AV$19)</f>
        <v>327.80676878191991</v>
      </c>
      <c r="CL5" s="79">
        <f>(Z5+AZ5)*(1-AZ$19)</f>
        <v>0</v>
      </c>
      <c r="CM5" s="80">
        <f>P5+Q5+S5+U5+X5+Y5+AP5+AQ5+AS5+AU5+AX5+AY5</f>
        <v>785.89711774034095</v>
      </c>
      <c r="CN5" s="8">
        <f>SUM(CC5:CM5)</f>
        <v>58707.779937543135</v>
      </c>
      <c r="CO5" s="81">
        <f t="shared" ref="CO5:CO18" si="7">AC5-CN5</f>
        <v>0</v>
      </c>
      <c r="CP5" s="82" t="str">
        <f t="shared" ref="CP5:CP18" si="8">B5</f>
        <v>Tochten ABC1</v>
      </c>
      <c r="CQ5" s="83">
        <f t="shared" ref="CQ5:CQ18" si="9">CA5</f>
        <v>0.95123020103633615</v>
      </c>
      <c r="CR5" s="84">
        <f t="shared" ref="CR5:CR12" si="10">SUMPRODUCT(CC5:CG5,$CC$1:$CG$1)/SUMPRODUCT(CC5:CM5,$CC$1:$CM$1)</f>
        <v>0.97108446568648521</v>
      </c>
      <c r="CS5" s="85">
        <f t="shared" ref="CS5:CS12" si="11">SUMPRODUCT(CC5:CG5,$CC$2:$CG$2)/SUMPRODUCT(CC5:CM5,$CC$2:$CM$2)</f>
        <v>0.93169162421478013</v>
      </c>
      <c r="CT5" s="8">
        <f t="shared" ref="CT5:CX12" si="12">CC5*(CC$1-1)</f>
        <v>1520.4570305072039</v>
      </c>
      <c r="CU5" s="8">
        <f t="shared" si="12"/>
        <v>13863.434022624691</v>
      </c>
      <c r="CV5" s="8">
        <f t="shared" si="12"/>
        <v>812.18689619600366</v>
      </c>
      <c r="CW5" s="8">
        <f t="shared" si="12"/>
        <v>75.647715872750751</v>
      </c>
      <c r="CX5" s="8">
        <f t="shared" si="12"/>
        <v>0</v>
      </c>
      <c r="CY5" s="8">
        <f>CH5*(1-CH$1)</f>
        <v>388.10354177933607</v>
      </c>
      <c r="CZ5" s="8">
        <f t="shared" ref="CZ5:CZ18" si="13">CI5*(1-CI$1)</f>
        <v>49.262142879349923</v>
      </c>
      <c r="DA5" s="8">
        <f t="shared" ref="DA5:DA18" si="14">CJ5*(1-CJ$1)</f>
        <v>0</v>
      </c>
      <c r="DB5" s="8">
        <f t="shared" ref="DB5:DB18" si="15">CK5*(1-CK$1)</f>
        <v>81.951692195479978</v>
      </c>
      <c r="DC5" s="8">
        <f t="shared" ref="DC5:DC18" si="16">CL5*(1-CL$1)</f>
        <v>0</v>
      </c>
      <c r="DD5" s="8">
        <f t="shared" ref="DD5:DD18" si="17">CM5*(1-CM$1)</f>
        <v>196.47427943508524</v>
      </c>
      <c r="DE5" s="86">
        <f>SQRT(CT5^2+CU5^2+CV5^2+CW5^2+CX5^2)</f>
        <v>13970.395936141389</v>
      </c>
      <c r="DF5" s="86">
        <f>SQRT(CT5^2+CU5^2+CV5^2+CW5^2+CX5^2+CY5^2+CZ5^2+DA5^2+DB5^2+DC5^2++DD5^2)</f>
        <v>13977.493765076479</v>
      </c>
      <c r="DG5" s="87">
        <f t="shared" ref="DG5:DG18" si="18">CQ5*SQRT((DE5/SUM(CC5:CG5))^2+(DF5/SUM(CC5:CM5))^2)</f>
        <v>0.32850879131974448</v>
      </c>
      <c r="DH5" s="88">
        <f>CQ5</f>
        <v>0.95123020103633615</v>
      </c>
      <c r="DI5" s="7">
        <f>DH5+DG5</f>
        <v>1.2797389923560807</v>
      </c>
      <c r="DJ5" s="89">
        <f>DH5-DG5</f>
        <v>0.62272140971659162</v>
      </c>
      <c r="DK5" s="90"/>
    </row>
    <row r="6" spans="1:115" x14ac:dyDescent="0.3">
      <c r="A6" s="91">
        <v>37102</v>
      </c>
      <c r="B6" s="92" t="s">
        <v>77</v>
      </c>
      <c r="C6" s="88">
        <f t="shared" si="2"/>
        <v>0.92333492777877935</v>
      </c>
      <c r="D6" s="93">
        <f t="shared" ref="D6:D18" si="19">C6*F6</f>
        <v>2.1183580491846539</v>
      </c>
      <c r="E6" s="93">
        <v>2.4</v>
      </c>
      <c r="F6" s="94">
        <v>2.2942466329966331</v>
      </c>
      <c r="G6" s="8">
        <v>7457.8774960891124</v>
      </c>
      <c r="H6" s="8">
        <v>2021.975818157928</v>
      </c>
      <c r="I6" s="8">
        <v>1920.1292692894719</v>
      </c>
      <c r="J6" s="8">
        <v>11.70354375122389</v>
      </c>
      <c r="K6" s="8">
        <v>9085.3095355780424</v>
      </c>
      <c r="L6" s="8">
        <v>4792.0368218975527</v>
      </c>
      <c r="M6" s="95">
        <v>899.11434614774191</v>
      </c>
      <c r="N6" s="96">
        <v>114381.772587598</v>
      </c>
      <c r="O6" s="71">
        <v>406.18279003540022</v>
      </c>
      <c r="P6" s="8">
        <v>0.62612393790771348</v>
      </c>
      <c r="Q6" s="95">
        <v>1524.5392613227309</v>
      </c>
      <c r="R6" s="71">
        <v>0</v>
      </c>
      <c r="S6" s="8">
        <v>0</v>
      </c>
      <c r="T6" s="8">
        <v>6781.4122754976916</v>
      </c>
      <c r="U6" s="8">
        <v>40.951550010606212</v>
      </c>
      <c r="V6" s="8">
        <v>1205.636176508111</v>
      </c>
      <c r="W6" s="8">
        <v>43.319307194151747</v>
      </c>
      <c r="X6" s="8">
        <v>0</v>
      </c>
      <c r="Y6" s="95">
        <v>141.3005219085795</v>
      </c>
      <c r="Z6" s="97">
        <v>0</v>
      </c>
      <c r="AA6" s="8"/>
      <c r="AB6" s="98">
        <f t="shared" ref="AB6:AB18" si="20">SUM(AG6:BA6)</f>
        <v>24380.038842099042</v>
      </c>
      <c r="AC6" s="71">
        <f t="shared" si="3"/>
        <v>175093.92626702329</v>
      </c>
      <c r="AD6" s="8">
        <v>21656.4304993806</v>
      </c>
      <c r="AE6" s="95">
        <f t="shared" ref="AE6:AE18" si="21">AC6-AD6</f>
        <v>153437.49576764269</v>
      </c>
      <c r="AF6" s="99" t="s">
        <v>78</v>
      </c>
      <c r="AG6" s="100">
        <v>565.40813943614228</v>
      </c>
      <c r="AH6" s="101">
        <v>94.768857853159489</v>
      </c>
      <c r="AI6" s="101">
        <v>77.871026272837227</v>
      </c>
      <c r="AJ6" s="101">
        <v>0.97103915183997191</v>
      </c>
      <c r="AK6" s="101">
        <v>741.66302761191309</v>
      </c>
      <c r="AL6" s="101">
        <v>229.60198319687501</v>
      </c>
      <c r="AM6" s="98">
        <v>1538.3443966901191</v>
      </c>
      <c r="AN6" s="101">
        <v>19118.796299638059</v>
      </c>
      <c r="AO6" s="100">
        <v>81.72886433057451</v>
      </c>
      <c r="AP6" s="101">
        <v>0.1419064784228532</v>
      </c>
      <c r="AQ6" s="98">
        <v>290.88702594032293</v>
      </c>
      <c r="AR6" s="100">
        <v>0</v>
      </c>
      <c r="AS6" s="101">
        <v>0</v>
      </c>
      <c r="AT6" s="101">
        <v>1335.310707910593</v>
      </c>
      <c r="AU6" s="101">
        <v>7.4745017729573782</v>
      </c>
      <c r="AV6" s="101">
        <v>260.86567276094502</v>
      </c>
      <c r="AW6" s="101">
        <v>9.0607091896223668</v>
      </c>
      <c r="AX6" s="101">
        <v>0</v>
      </c>
      <c r="AY6" s="98">
        <v>27.144683864654489</v>
      </c>
      <c r="AZ6" s="100">
        <v>0</v>
      </c>
      <c r="BA6" s="98"/>
      <c r="BB6" s="102">
        <f t="shared" ref="BB6:BB18" si="22">SUM(AG6:BA6)</f>
        <v>24380.038842099042</v>
      </c>
      <c r="BC6" s="10">
        <f t="shared" ref="BC6:BC18" si="23">BB6-AB6</f>
        <v>0</v>
      </c>
      <c r="BD6" s="71">
        <f t="shared" si="4"/>
        <v>37102</v>
      </c>
      <c r="BE6" s="8" t="str">
        <f t="shared" si="4"/>
        <v>Tochten ABC2</v>
      </c>
      <c r="BF6" s="7">
        <f t="shared" ref="BF6:BF18" si="24">(G6+AG6)/$AC6</f>
        <v>4.582275243111239E-2</v>
      </c>
      <c r="BG6" s="7">
        <f t="shared" si="5"/>
        <v>1.208919533155588E-2</v>
      </c>
      <c r="BH6" s="7">
        <f t="shared" si="5"/>
        <v>1.1411020006001244E-2</v>
      </c>
      <c r="BI6" s="7">
        <f t="shared" si="5"/>
        <v>7.2387336175983383E-5</v>
      </c>
      <c r="BJ6" s="7">
        <f t="shared" si="5"/>
        <v>5.6124005970392944E-2</v>
      </c>
      <c r="BK6" s="7">
        <f t="shared" si="5"/>
        <v>2.8679685881486741E-2</v>
      </c>
      <c r="BL6" s="7">
        <f t="shared" si="5"/>
        <v>1.3920864045967341E-2</v>
      </c>
      <c r="BM6" s="7">
        <f t="shared" si="5"/>
        <v>0.76245116968617088</v>
      </c>
      <c r="BN6" s="7">
        <f t="shared" si="5"/>
        <v>2.7865709837467203E-3</v>
      </c>
      <c r="BO6" s="7">
        <f t="shared" si="5"/>
        <v>4.3863909657225811E-6</v>
      </c>
      <c r="BP6" s="7">
        <f t="shared" si="5"/>
        <v>1.0368299609059405E-2</v>
      </c>
      <c r="BQ6" s="7">
        <f t="shared" si="5"/>
        <v>0</v>
      </c>
      <c r="BR6" s="7">
        <f t="shared" si="5"/>
        <v>0</v>
      </c>
      <c r="BS6" s="7">
        <f t="shared" si="5"/>
        <v>4.6356393716536166E-2</v>
      </c>
      <c r="BT6" s="7">
        <f t="shared" si="5"/>
        <v>2.7657185383867894E-4</v>
      </c>
      <c r="BU6" s="7">
        <f t="shared" si="5"/>
        <v>8.3755152479281225E-3</v>
      </c>
      <c r="BV6" s="7">
        <f t="shared" si="5"/>
        <v>2.9915381704270587E-4</v>
      </c>
      <c r="BW6" s="7">
        <f t="shared" si="6"/>
        <v>0</v>
      </c>
      <c r="BX6" s="7">
        <f t="shared" si="6"/>
        <v>9.6202769201914062E-4</v>
      </c>
      <c r="BY6" s="7">
        <f t="shared" si="6"/>
        <v>0</v>
      </c>
      <c r="BZ6" s="72">
        <f t="shared" ref="BZ6:BZ36" si="25">SUM(BF6:BY6)</f>
        <v>1</v>
      </c>
      <c r="CA6" s="73">
        <f t="shared" ref="CA6:CA12" si="26">SUMPRODUCT(BF6:BY6,$BF$19:$BY$19)</f>
        <v>0.92333492777877957</v>
      </c>
      <c r="CB6" s="74">
        <f t="shared" ref="CB6:CB18" si="27">C6-CA6</f>
        <v>0</v>
      </c>
      <c r="CC6" s="75">
        <f t="shared" ref="CC6:CC18" si="28">SUM(I6:M6)+SUM(AI6:AM6)</f>
        <v>19296.744989587616</v>
      </c>
      <c r="CD6" s="76">
        <f t="shared" ref="CD6:CD18" si="29">N6+AN6</f>
        <v>133500.56888723606</v>
      </c>
      <c r="CE6" s="76">
        <f t="shared" ref="CE6:CE18" si="30">T6+W6+AT6+AW6</f>
        <v>8169.1029997920587</v>
      </c>
      <c r="CF6" s="76">
        <f t="shared" ref="CF6:CF18" si="31">(V6+AV6)*AV$19</f>
        <v>703.92088764914683</v>
      </c>
      <c r="CG6" s="77">
        <f t="shared" ref="CG6:CG18" si="32">(Z6+AZ6)*AZ$19</f>
        <v>0</v>
      </c>
      <c r="CH6" s="78">
        <f t="shared" ref="CH6:CH18" si="33">G6+H6+AG6+AH6</f>
        <v>10140.030311536342</v>
      </c>
      <c r="CI6" s="79">
        <f t="shared" ref="CI6:CI18" si="34">O6+AO6</f>
        <v>487.91165436597475</v>
      </c>
      <c r="CJ6" s="79">
        <f t="shared" ref="CJ6:CJ18" si="35">R6+AR6</f>
        <v>0</v>
      </c>
      <c r="CK6" s="79">
        <f t="shared" ref="CK6:CK18" si="36">(V6+AV6)*(1-AV$19)</f>
        <v>762.5809616199092</v>
      </c>
      <c r="CL6" s="79">
        <f t="shared" ref="CL6:CL18" si="37">(Z6+AZ6)*(1-AZ$19)</f>
        <v>0</v>
      </c>
      <c r="CM6" s="80">
        <f t="shared" ref="CM6:CM18" si="38">P6+Q6+S6+U6+X6+Y6+AP6+AQ6+AS6+AU6+AX6+AY6</f>
        <v>2033.0655752361822</v>
      </c>
      <c r="CN6" s="8">
        <f t="shared" ref="CN6:CN18" si="39">SUM(CC6:CM6)</f>
        <v>175093.92626702329</v>
      </c>
      <c r="CO6" s="81">
        <f t="shared" si="7"/>
        <v>0</v>
      </c>
      <c r="CP6" s="82" t="str">
        <f t="shared" si="8"/>
        <v>Tochten ABC2</v>
      </c>
      <c r="CQ6" s="83">
        <f t="shared" si="9"/>
        <v>0.92333492777877957</v>
      </c>
      <c r="CR6" s="84">
        <f t="shared" si="10"/>
        <v>0.95399322835310429</v>
      </c>
      <c r="CS6" s="85">
        <f t="shared" si="11"/>
        <v>0.89383924026057393</v>
      </c>
      <c r="CT6" s="8">
        <f t="shared" si="12"/>
        <v>4824.186247396904</v>
      </c>
      <c r="CU6" s="8">
        <f t="shared" si="12"/>
        <v>40050.170666170823</v>
      </c>
      <c r="CV6" s="8">
        <f t="shared" si="12"/>
        <v>2042.2757499480147</v>
      </c>
      <c r="CW6" s="8">
        <f t="shared" si="12"/>
        <v>175.98022191228671</v>
      </c>
      <c r="CX6" s="8">
        <f t="shared" si="12"/>
        <v>0</v>
      </c>
      <c r="CY6" s="8">
        <f t="shared" ref="CY6:CY18" si="40">CH6*(1-CH$1)</f>
        <v>2535.0075778840855</v>
      </c>
      <c r="CZ6" s="8">
        <f t="shared" si="13"/>
        <v>121.97791359149369</v>
      </c>
      <c r="DA6" s="8">
        <f t="shared" si="14"/>
        <v>0</v>
      </c>
      <c r="DB6" s="8">
        <f t="shared" si="15"/>
        <v>190.6452404049773</v>
      </c>
      <c r="DC6" s="8">
        <f t="shared" si="16"/>
        <v>0</v>
      </c>
      <c r="DD6" s="8">
        <f t="shared" si="17"/>
        <v>508.26639380904555</v>
      </c>
      <c r="DE6" s="86">
        <f t="shared" ref="DE6:DE18" si="41">SQRT(CT6^2+CU6^2+CV6^2+CW6^2+CX6^2)</f>
        <v>40391.717005053317</v>
      </c>
      <c r="DF6" s="86">
        <f t="shared" ref="DF6:DF18" si="42">SQRT(CT6^2+CU6^2+CV6^2+CW6^2+CX6^2+CY6^2+CZ6^2+DA6^2+DB6^2+DC6^2++DD6^2)</f>
        <v>40475.012353085353</v>
      </c>
      <c r="DG6" s="87">
        <f t="shared" si="18"/>
        <v>0.31428097115866199</v>
      </c>
      <c r="DH6" s="88">
        <f t="shared" ref="DH6:DH36" si="43">CQ6</f>
        <v>0.92333492777877957</v>
      </c>
      <c r="DI6" s="7">
        <f t="shared" ref="DI6:DI36" si="44">DH6+DG6</f>
        <v>1.2376158989374415</v>
      </c>
      <c r="DJ6" s="89">
        <f t="shared" ref="DJ6:DJ36" si="45">DH6-DG6</f>
        <v>0.60905395662011763</v>
      </c>
      <c r="DK6" s="90"/>
    </row>
    <row r="7" spans="1:115" x14ac:dyDescent="0.3">
      <c r="A7" s="91">
        <v>37103</v>
      </c>
      <c r="B7" s="92" t="s">
        <v>79</v>
      </c>
      <c r="C7" s="88">
        <f t="shared" si="2"/>
        <v>0.71635960263363585</v>
      </c>
      <c r="D7" s="93">
        <f t="shared" si="19"/>
        <v>0.82858927371290547</v>
      </c>
      <c r="E7" s="93">
        <v>4</v>
      </c>
      <c r="F7" s="94">
        <v>1.1566666666666667</v>
      </c>
      <c r="G7" s="8">
        <v>2638.171536887784</v>
      </c>
      <c r="H7" s="8">
        <v>376.9090112239295</v>
      </c>
      <c r="I7" s="8">
        <v>714.35636837148184</v>
      </c>
      <c r="J7" s="8">
        <v>1.728124351599817</v>
      </c>
      <c r="K7" s="8">
        <v>3711.9673580833419</v>
      </c>
      <c r="L7" s="8">
        <v>1090.642910181477</v>
      </c>
      <c r="M7" s="95">
        <v>6473.8814117532584</v>
      </c>
      <c r="N7" s="96">
        <v>5397.1110137483774</v>
      </c>
      <c r="O7" s="71">
        <v>109.2385864465175</v>
      </c>
      <c r="P7" s="8">
        <v>21.76800645948849</v>
      </c>
      <c r="Q7" s="95">
        <v>422.04061058201728</v>
      </c>
      <c r="R7" s="71">
        <v>0</v>
      </c>
      <c r="S7" s="8">
        <v>0</v>
      </c>
      <c r="T7" s="8">
        <v>10471.996512617719</v>
      </c>
      <c r="U7" s="8">
        <v>0</v>
      </c>
      <c r="V7" s="8">
        <v>22821.493077763549</v>
      </c>
      <c r="W7" s="8">
        <v>761.30065402883713</v>
      </c>
      <c r="X7" s="8">
        <v>26.485916161070129</v>
      </c>
      <c r="Y7" s="95">
        <v>94.802191469605603</v>
      </c>
      <c r="Z7" s="97">
        <v>767.2757276166667</v>
      </c>
      <c r="AA7" s="8"/>
      <c r="AB7" s="98">
        <f t="shared" si="20"/>
        <v>0</v>
      </c>
      <c r="AC7" s="71">
        <f t="shared" si="3"/>
        <v>55901.169017746732</v>
      </c>
      <c r="AD7" s="8">
        <v>53137.84352056792</v>
      </c>
      <c r="AE7" s="95">
        <f t="shared" si="21"/>
        <v>2763.3254971788119</v>
      </c>
      <c r="AF7" s="99" t="s">
        <v>80</v>
      </c>
      <c r="AG7" s="100"/>
      <c r="AH7" s="101"/>
      <c r="AI7" s="101"/>
      <c r="AJ7" s="101"/>
      <c r="AK7" s="101"/>
      <c r="AL7" s="101"/>
      <c r="AM7" s="98"/>
      <c r="AN7" s="101"/>
      <c r="AO7" s="100"/>
      <c r="AP7" s="101"/>
      <c r="AQ7" s="98"/>
      <c r="AR7" s="100"/>
      <c r="AS7" s="101"/>
      <c r="AT7" s="101"/>
      <c r="AU7" s="101"/>
      <c r="AV7" s="101"/>
      <c r="AW7" s="101"/>
      <c r="AX7" s="101"/>
      <c r="AY7" s="98"/>
      <c r="AZ7" s="100"/>
      <c r="BA7" s="98"/>
      <c r="BB7" s="102"/>
      <c r="BC7" s="10">
        <f t="shared" si="23"/>
        <v>0</v>
      </c>
      <c r="BD7" s="71">
        <f t="shared" si="4"/>
        <v>37103</v>
      </c>
      <c r="BE7" s="8" t="str">
        <f t="shared" si="4"/>
        <v>Tochten DE Almere</v>
      </c>
      <c r="BF7" s="7">
        <f t="shared" si="24"/>
        <v>4.7193494934788457E-2</v>
      </c>
      <c r="BG7" s="7">
        <f t="shared" si="5"/>
        <v>6.7424173384330053E-3</v>
      </c>
      <c r="BH7" s="7">
        <f t="shared" si="5"/>
        <v>1.2778916450650574E-2</v>
      </c>
      <c r="BI7" s="7">
        <f t="shared" si="5"/>
        <v>3.0913921514793293E-5</v>
      </c>
      <c r="BJ7" s="7">
        <f t="shared" si="5"/>
        <v>6.6402320797708497E-2</v>
      </c>
      <c r="BK7" s="7">
        <f t="shared" si="5"/>
        <v>1.951019861204038E-2</v>
      </c>
      <c r="BL7" s="7">
        <f t="shared" si="5"/>
        <v>0.11580941016990216</v>
      </c>
      <c r="BM7" s="7">
        <f t="shared" si="5"/>
        <v>9.6547372954490035E-2</v>
      </c>
      <c r="BN7" s="7">
        <f t="shared" si="5"/>
        <v>1.9541377821962534E-3</v>
      </c>
      <c r="BO7" s="7">
        <f t="shared" si="5"/>
        <v>3.8940163223738456E-4</v>
      </c>
      <c r="BP7" s="7">
        <f t="shared" si="5"/>
        <v>7.5497635916707507E-3</v>
      </c>
      <c r="BQ7" s="7">
        <f t="shared" si="5"/>
        <v>0</v>
      </c>
      <c r="BR7" s="7">
        <f t="shared" si="5"/>
        <v>0</v>
      </c>
      <c r="BS7" s="7">
        <f t="shared" si="5"/>
        <v>0.18733054597289753</v>
      </c>
      <c r="BT7" s="7">
        <f t="shared" si="5"/>
        <v>0</v>
      </c>
      <c r="BU7" s="7">
        <f t="shared" si="5"/>
        <v>0.40824715258671063</v>
      </c>
      <c r="BV7" s="7">
        <f t="shared" si="5"/>
        <v>1.361868932986267E-2</v>
      </c>
      <c r="BW7" s="7">
        <f t="shared" si="6"/>
        <v>4.7379896747171325E-4</v>
      </c>
      <c r="BX7" s="7">
        <f t="shared" si="6"/>
        <v>1.6958892476740355E-3</v>
      </c>
      <c r="BY7" s="7">
        <f t="shared" si="6"/>
        <v>1.3725575709750946E-2</v>
      </c>
      <c r="BZ7" s="72">
        <f t="shared" si="25"/>
        <v>0.99999999999999978</v>
      </c>
      <c r="CA7" s="73">
        <f t="shared" si="26"/>
        <v>0.71635960263363574</v>
      </c>
      <c r="CB7" s="74">
        <f t="shared" si="27"/>
        <v>0</v>
      </c>
      <c r="CC7" s="75">
        <f t="shared" si="28"/>
        <v>11992.576172741159</v>
      </c>
      <c r="CD7" s="76">
        <f t="shared" si="29"/>
        <v>5397.1110137483774</v>
      </c>
      <c r="CE7" s="76">
        <f t="shared" si="30"/>
        <v>11233.297166646556</v>
      </c>
      <c r="CF7" s="76">
        <f t="shared" si="31"/>
        <v>10954.316677326504</v>
      </c>
      <c r="CG7" s="77">
        <f t="shared" si="32"/>
        <v>468.03819384616668</v>
      </c>
      <c r="CH7" s="78">
        <f t="shared" si="33"/>
        <v>3015.0805481117136</v>
      </c>
      <c r="CI7" s="79">
        <f t="shared" si="34"/>
        <v>109.2385864465175</v>
      </c>
      <c r="CJ7" s="79">
        <f t="shared" si="35"/>
        <v>0</v>
      </c>
      <c r="CK7" s="79">
        <f t="shared" si="36"/>
        <v>11867.176400437045</v>
      </c>
      <c r="CL7" s="79">
        <f t="shared" si="37"/>
        <v>299.23753377050002</v>
      </c>
      <c r="CM7" s="80">
        <f t="shared" si="38"/>
        <v>565.09672467218149</v>
      </c>
      <c r="CN7" s="8">
        <f t="shared" si="39"/>
        <v>55901.169017746724</v>
      </c>
      <c r="CO7" s="81">
        <f t="shared" si="7"/>
        <v>0</v>
      </c>
      <c r="CP7" s="82" t="str">
        <f t="shared" si="8"/>
        <v>Tochten DE Almere</v>
      </c>
      <c r="CQ7" s="83">
        <f t="shared" si="9"/>
        <v>0.71635960263363574</v>
      </c>
      <c r="CR7" s="84">
        <f t="shared" si="10"/>
        <v>0.80886888803101775</v>
      </c>
      <c r="CS7" s="85">
        <f t="shared" si="11"/>
        <v>0.60879444430616692</v>
      </c>
      <c r="CT7" s="8">
        <f t="shared" si="12"/>
        <v>2998.1440431852898</v>
      </c>
      <c r="CU7" s="8">
        <f t="shared" si="12"/>
        <v>1619.1333041245134</v>
      </c>
      <c r="CV7" s="8">
        <f t="shared" si="12"/>
        <v>2808.3242916616391</v>
      </c>
      <c r="CW7" s="8">
        <f t="shared" si="12"/>
        <v>2738.579169331626</v>
      </c>
      <c r="CX7" s="8">
        <f t="shared" si="12"/>
        <v>117.00954846154167</v>
      </c>
      <c r="CY7" s="8">
        <f t="shared" si="40"/>
        <v>753.7701370279284</v>
      </c>
      <c r="CZ7" s="8">
        <f t="shared" si="13"/>
        <v>27.309646611629375</v>
      </c>
      <c r="DA7" s="8">
        <f t="shared" si="14"/>
        <v>0</v>
      </c>
      <c r="DB7" s="8">
        <f t="shared" si="15"/>
        <v>2966.7941001092613</v>
      </c>
      <c r="DC7" s="8">
        <f t="shared" si="16"/>
        <v>74.809383442625006</v>
      </c>
      <c r="DD7" s="8">
        <f t="shared" si="17"/>
        <v>141.27418116804537</v>
      </c>
      <c r="DE7" s="86">
        <f t="shared" si="41"/>
        <v>5197.1773866665089</v>
      </c>
      <c r="DF7" s="86">
        <f t="shared" si="42"/>
        <v>6033.8205222984352</v>
      </c>
      <c r="DG7" s="87">
        <f t="shared" si="18"/>
        <v>0.12092249995553608</v>
      </c>
      <c r="DH7" s="88">
        <f t="shared" si="43"/>
        <v>0.71635960263363574</v>
      </c>
      <c r="DI7" s="7">
        <f t="shared" si="44"/>
        <v>0.83728210258917179</v>
      </c>
      <c r="DJ7" s="89">
        <f t="shared" si="45"/>
        <v>0.59543710267809968</v>
      </c>
      <c r="DK7" s="90"/>
    </row>
    <row r="8" spans="1:115" x14ac:dyDescent="0.3">
      <c r="A8" s="91">
        <v>37104</v>
      </c>
      <c r="B8" s="92" t="s">
        <v>81</v>
      </c>
      <c r="C8" s="88">
        <f t="shared" si="2"/>
        <v>0.83619044018437705</v>
      </c>
      <c r="D8" s="93">
        <f t="shared" si="19"/>
        <v>3.6590996837101515</v>
      </c>
      <c r="E8" s="93">
        <v>4</v>
      </c>
      <c r="F8" s="94">
        <v>4.375916666666666</v>
      </c>
      <c r="G8" s="8">
        <v>3190.0646955676998</v>
      </c>
      <c r="H8" s="8">
        <v>1241.534348373604</v>
      </c>
      <c r="I8" s="8">
        <v>1551.696187359478</v>
      </c>
      <c r="J8" s="8">
        <v>3.1477241713102941</v>
      </c>
      <c r="K8" s="8">
        <v>2170.7792589263358</v>
      </c>
      <c r="L8" s="8">
        <v>3244.5545565020111</v>
      </c>
      <c r="M8" s="95">
        <v>1663.2416318487569</v>
      </c>
      <c r="N8" s="96">
        <v>31789.02668145817</v>
      </c>
      <c r="O8" s="71">
        <v>465.70134221936399</v>
      </c>
      <c r="P8" s="8">
        <v>7.3465842033307567</v>
      </c>
      <c r="Q8" s="95">
        <v>993.77533615511561</v>
      </c>
      <c r="R8" s="71">
        <v>0</v>
      </c>
      <c r="S8" s="8">
        <v>0</v>
      </c>
      <c r="T8" s="8">
        <v>6303.1967177790793</v>
      </c>
      <c r="U8" s="8">
        <v>0</v>
      </c>
      <c r="V8" s="8">
        <v>7433.1485798891827</v>
      </c>
      <c r="W8" s="8">
        <v>31.847131937386319</v>
      </c>
      <c r="X8" s="8">
        <v>27.46297143336885</v>
      </c>
      <c r="Y8" s="95">
        <v>67.614685082032281</v>
      </c>
      <c r="Z8" s="97">
        <v>0</v>
      </c>
      <c r="AA8" s="8"/>
      <c r="AB8" s="98">
        <f t="shared" si="20"/>
        <v>0</v>
      </c>
      <c r="AC8" s="71">
        <f t="shared" si="3"/>
        <v>60184.13843290622</v>
      </c>
      <c r="AD8" s="8">
        <v>26522.425973116598</v>
      </c>
      <c r="AE8" s="95">
        <f t="shared" si="21"/>
        <v>33661.712459789618</v>
      </c>
      <c r="AF8" s="99" t="s">
        <v>82</v>
      </c>
      <c r="AG8" s="100"/>
      <c r="AH8" s="101"/>
      <c r="AI8" s="101"/>
      <c r="AJ8" s="101"/>
      <c r="AK8" s="101"/>
      <c r="AL8" s="101"/>
      <c r="AM8" s="98"/>
      <c r="AN8" s="101"/>
      <c r="AO8" s="100"/>
      <c r="AP8" s="101"/>
      <c r="AQ8" s="98"/>
      <c r="AR8" s="100"/>
      <c r="AS8" s="101"/>
      <c r="AT8" s="101"/>
      <c r="AU8" s="101"/>
      <c r="AV8" s="101"/>
      <c r="AW8" s="101"/>
      <c r="AX8" s="101"/>
      <c r="AY8" s="98"/>
      <c r="AZ8" s="100"/>
      <c r="BA8" s="98"/>
      <c r="BB8" s="102"/>
      <c r="BC8" s="10">
        <f t="shared" si="23"/>
        <v>0</v>
      </c>
      <c r="BD8" s="71">
        <f t="shared" si="4"/>
        <v>37104</v>
      </c>
      <c r="BE8" s="8" t="str">
        <f t="shared" si="4"/>
        <v>Tochten DE Zuidlob</v>
      </c>
      <c r="BF8" s="7">
        <f t="shared" si="24"/>
        <v>5.3005073739221351E-2</v>
      </c>
      <c r="BG8" s="7">
        <f t="shared" si="5"/>
        <v>2.0628929493734911E-2</v>
      </c>
      <c r="BH8" s="7">
        <f t="shared" si="5"/>
        <v>2.5782477372992916E-2</v>
      </c>
      <c r="BI8" s="7">
        <f t="shared" si="5"/>
        <v>5.2301557408176629E-5</v>
      </c>
      <c r="BJ8" s="7">
        <f t="shared" si="5"/>
        <v>3.6068959620421226E-2</v>
      </c>
      <c r="BK8" s="7">
        <f t="shared" si="5"/>
        <v>5.3910459482926179E-2</v>
      </c>
      <c r="BL8" s="7">
        <f t="shared" si="5"/>
        <v>2.7635880070011345E-2</v>
      </c>
      <c r="BM8" s="7">
        <f t="shared" si="5"/>
        <v>0.52819609134883339</v>
      </c>
      <c r="BN8" s="7">
        <f t="shared" si="5"/>
        <v>7.7379414966375522E-3</v>
      </c>
      <c r="BO8" s="7">
        <f t="shared" si="5"/>
        <v>1.2206844518545015E-4</v>
      </c>
      <c r="BP8" s="7">
        <f t="shared" si="5"/>
        <v>1.6512246615659119E-2</v>
      </c>
      <c r="BQ8" s="7">
        <f t="shared" si="5"/>
        <v>0</v>
      </c>
      <c r="BR8" s="7">
        <f t="shared" si="5"/>
        <v>0</v>
      </c>
      <c r="BS8" s="7">
        <f t="shared" si="5"/>
        <v>0.10473185928890442</v>
      </c>
      <c r="BT8" s="7">
        <f t="shared" si="5"/>
        <v>0</v>
      </c>
      <c r="BU8" s="7">
        <f t="shared" si="5"/>
        <v>0.12350677061159093</v>
      </c>
      <c r="BV8" s="7">
        <f t="shared" si="5"/>
        <v>5.2916154931568506E-4</v>
      </c>
      <c r="BW8" s="7">
        <f t="shared" si="6"/>
        <v>4.5631576937808619E-4</v>
      </c>
      <c r="BX8" s="7">
        <f t="shared" si="6"/>
        <v>1.1234635377793054E-3</v>
      </c>
      <c r="BY8" s="7">
        <f t="shared" si="6"/>
        <v>0</v>
      </c>
      <c r="BZ8" s="72">
        <f t="shared" si="25"/>
        <v>0.99999999999999989</v>
      </c>
      <c r="CA8" s="73">
        <f t="shared" si="26"/>
        <v>0.83619044018437694</v>
      </c>
      <c r="CB8" s="74">
        <f t="shared" si="27"/>
        <v>0</v>
      </c>
      <c r="CC8" s="75">
        <f t="shared" si="28"/>
        <v>8633.4193588078924</v>
      </c>
      <c r="CD8" s="76">
        <f t="shared" si="29"/>
        <v>31789.02668145817</v>
      </c>
      <c r="CE8" s="76">
        <f t="shared" si="30"/>
        <v>6335.043849716466</v>
      </c>
      <c r="CF8" s="76">
        <f t="shared" si="31"/>
        <v>3567.9113183468075</v>
      </c>
      <c r="CG8" s="77">
        <f t="shared" si="32"/>
        <v>0</v>
      </c>
      <c r="CH8" s="78">
        <f t="shared" si="33"/>
        <v>4431.5990439413035</v>
      </c>
      <c r="CI8" s="79">
        <f t="shared" si="34"/>
        <v>465.70134221936399</v>
      </c>
      <c r="CJ8" s="79">
        <f t="shared" si="35"/>
        <v>0</v>
      </c>
      <c r="CK8" s="79">
        <f t="shared" si="36"/>
        <v>3865.2372615423751</v>
      </c>
      <c r="CL8" s="79">
        <f t="shared" si="37"/>
        <v>0</v>
      </c>
      <c r="CM8" s="80">
        <f t="shared" si="38"/>
        <v>1096.1995768738475</v>
      </c>
      <c r="CN8" s="8">
        <f t="shared" si="39"/>
        <v>60184.13843290622</v>
      </c>
      <c r="CO8" s="81">
        <f t="shared" si="7"/>
        <v>0</v>
      </c>
      <c r="CP8" s="82" t="str">
        <f t="shared" si="8"/>
        <v>Tochten DE Zuidlob</v>
      </c>
      <c r="CQ8" s="83">
        <f t="shared" si="9"/>
        <v>0.83619044018437694</v>
      </c>
      <c r="CR8" s="84">
        <f t="shared" si="10"/>
        <v>0.89714805101240558</v>
      </c>
      <c r="CS8" s="85">
        <f t="shared" si="11"/>
        <v>0.77526696813099305</v>
      </c>
      <c r="CT8" s="8">
        <f t="shared" si="12"/>
        <v>2158.3548397019731</v>
      </c>
      <c r="CU8" s="8">
        <f t="shared" si="12"/>
        <v>9536.7080044374525</v>
      </c>
      <c r="CV8" s="8">
        <f t="shared" si="12"/>
        <v>1583.7609624291165</v>
      </c>
      <c r="CW8" s="8">
        <f t="shared" si="12"/>
        <v>891.97782958670189</v>
      </c>
      <c r="CX8" s="8">
        <f t="shared" si="12"/>
        <v>0</v>
      </c>
      <c r="CY8" s="8">
        <f t="shared" si="40"/>
        <v>1107.8997609853259</v>
      </c>
      <c r="CZ8" s="8">
        <f t="shared" si="13"/>
        <v>116.425335554841</v>
      </c>
      <c r="DA8" s="8">
        <f t="shared" si="14"/>
        <v>0</v>
      </c>
      <c r="DB8" s="8">
        <f t="shared" si="15"/>
        <v>966.30931538559378</v>
      </c>
      <c r="DC8" s="8">
        <f t="shared" si="16"/>
        <v>0</v>
      </c>
      <c r="DD8" s="8">
        <f t="shared" si="17"/>
        <v>274.04989421846187</v>
      </c>
      <c r="DE8" s="86">
        <f t="shared" si="41"/>
        <v>9945.4119276455767</v>
      </c>
      <c r="DF8" s="86">
        <f t="shared" si="42"/>
        <v>10057.88606950921</v>
      </c>
      <c r="DG8" s="87">
        <f t="shared" si="18"/>
        <v>0.21641524315999497</v>
      </c>
      <c r="DH8" s="88">
        <f t="shared" si="43"/>
        <v>0.83619044018437694</v>
      </c>
      <c r="DI8" s="7">
        <f t="shared" si="44"/>
        <v>1.052605683344372</v>
      </c>
      <c r="DJ8" s="89">
        <f t="shared" si="45"/>
        <v>0.619775197024382</v>
      </c>
      <c r="DK8" s="90"/>
    </row>
    <row r="9" spans="1:115" x14ac:dyDescent="0.3">
      <c r="A9" s="91">
        <v>37105</v>
      </c>
      <c r="B9" s="92" t="s">
        <v>83</v>
      </c>
      <c r="C9" s="88">
        <f t="shared" si="2"/>
        <v>0.8784485326022976</v>
      </c>
      <c r="D9" s="93">
        <f t="shared" si="19"/>
        <v>2.4544347262771815</v>
      </c>
      <c r="E9" s="93">
        <v>2.5</v>
      </c>
      <c r="F9" s="94">
        <v>2.7940563791554358</v>
      </c>
      <c r="G9" s="8">
        <v>8909.0749325102461</v>
      </c>
      <c r="H9" s="8">
        <v>3038.5034524572752</v>
      </c>
      <c r="I9" s="8">
        <v>5189.0847923963302</v>
      </c>
      <c r="J9" s="8">
        <v>8.4028136914186859</v>
      </c>
      <c r="K9" s="8">
        <v>4679.3973701438754</v>
      </c>
      <c r="L9" s="8">
        <v>7479.0828668461954</v>
      </c>
      <c r="M9" s="95">
        <v>1781.154149128567</v>
      </c>
      <c r="N9" s="96">
        <v>116523.5857605433</v>
      </c>
      <c r="O9" s="71">
        <v>441.85325463200229</v>
      </c>
      <c r="P9" s="8">
        <v>5.0938747711091166</v>
      </c>
      <c r="Q9" s="95">
        <v>2326.472090845476</v>
      </c>
      <c r="R9" s="71">
        <v>0</v>
      </c>
      <c r="S9" s="8">
        <v>0</v>
      </c>
      <c r="T9" s="8">
        <v>5024.6726942487148</v>
      </c>
      <c r="U9" s="8">
        <v>0</v>
      </c>
      <c r="V9" s="8">
        <v>9606.6855332912619</v>
      </c>
      <c r="W9" s="8">
        <v>301.38196826612591</v>
      </c>
      <c r="X9" s="8">
        <v>0</v>
      </c>
      <c r="Y9" s="95">
        <v>336.21658358305979</v>
      </c>
      <c r="Z9" s="97">
        <v>474.43517913573402</v>
      </c>
      <c r="AA9" s="8"/>
      <c r="AB9" s="98">
        <f t="shared" si="20"/>
        <v>10990.974752106031</v>
      </c>
      <c r="AC9" s="71">
        <f t="shared" si="3"/>
        <v>177116.07206859672</v>
      </c>
      <c r="AD9" s="8">
        <v>57905.735157922798</v>
      </c>
      <c r="AE9" s="95">
        <f t="shared" si="21"/>
        <v>119210.33691067393</v>
      </c>
      <c r="AF9" s="99" t="s">
        <v>84</v>
      </c>
      <c r="AG9" s="100">
        <v>382.02701624633733</v>
      </c>
      <c r="AH9" s="101">
        <v>113.2097868634268</v>
      </c>
      <c r="AI9" s="101">
        <v>150.31376540720501</v>
      </c>
      <c r="AJ9" s="101">
        <v>0.49480992347319508</v>
      </c>
      <c r="AK9" s="101">
        <v>424.66231068007068</v>
      </c>
      <c r="AL9" s="101">
        <v>296.08072915972969</v>
      </c>
      <c r="AM9" s="98">
        <v>142.8942533892448</v>
      </c>
      <c r="AN9" s="101">
        <v>7541.2330444524096</v>
      </c>
      <c r="AO9" s="100">
        <v>28.192262093901832</v>
      </c>
      <c r="AP9" s="101">
        <v>0.26369151603441271</v>
      </c>
      <c r="AQ9" s="98">
        <v>102.48353239419539</v>
      </c>
      <c r="AR9" s="100">
        <v>131.9145708025336</v>
      </c>
      <c r="AS9" s="101">
        <v>0</v>
      </c>
      <c r="AT9" s="101">
        <v>431.06398921918299</v>
      </c>
      <c r="AU9" s="101">
        <v>3.444375617315985</v>
      </c>
      <c r="AV9" s="101">
        <v>263.66534034108372</v>
      </c>
      <c r="AW9" s="101">
        <v>4.3502620450574483</v>
      </c>
      <c r="AX9" s="101">
        <v>11.015757583943239</v>
      </c>
      <c r="AY9" s="98">
        <v>9.0354989866957993</v>
      </c>
      <c r="AZ9" s="100">
        <v>954.62975538418652</v>
      </c>
      <c r="BA9" s="98"/>
      <c r="BB9" s="102">
        <f>SUM(AG9:BA9)</f>
        <v>10990.974752106031</v>
      </c>
      <c r="BC9" s="10">
        <f t="shared" si="23"/>
        <v>0</v>
      </c>
      <c r="BD9" s="71">
        <f t="shared" si="4"/>
        <v>37105</v>
      </c>
      <c r="BE9" s="8" t="str">
        <f t="shared" si="4"/>
        <v>Tochten FGIK</v>
      </c>
      <c r="BF9" s="7">
        <f t="shared" si="24"/>
        <v>5.2457700988073834E-2</v>
      </c>
      <c r="BG9" s="7">
        <f t="shared" si="5"/>
        <v>1.779462023130261E-2</v>
      </c>
      <c r="BH9" s="7">
        <f t="shared" si="5"/>
        <v>3.0146324359178404E-2</v>
      </c>
      <c r="BI9" s="7">
        <f t="shared" si="5"/>
        <v>5.0236116412099786E-5</v>
      </c>
      <c r="BJ9" s="7">
        <f t="shared" si="5"/>
        <v>2.881759752919065E-2</v>
      </c>
      <c r="BK9" s="7">
        <f t="shared" si="5"/>
        <v>4.3898690306290324E-2</v>
      </c>
      <c r="BL9" s="7">
        <f t="shared" si="5"/>
        <v>1.0863206145248249E-2</v>
      </c>
      <c r="BM9" s="7">
        <f t="shared" si="5"/>
        <v>0.70047182819719289</v>
      </c>
      <c r="BN9" s="7">
        <f t="shared" si="5"/>
        <v>2.6538840390716001E-3</v>
      </c>
      <c r="BO9" s="7">
        <f t="shared" si="5"/>
        <v>3.024889963158484E-5</v>
      </c>
      <c r="BP9" s="7">
        <f t="shared" si="5"/>
        <v>1.3713919888077358E-2</v>
      </c>
      <c r="BQ9" s="7">
        <f t="shared" si="5"/>
        <v>7.4479164573751009E-4</v>
      </c>
      <c r="BR9" s="7">
        <f t="shared" si="5"/>
        <v>0</v>
      </c>
      <c r="BS9" s="7">
        <f t="shared" si="5"/>
        <v>3.0803171161987497E-2</v>
      </c>
      <c r="BT9" s="7">
        <f t="shared" si="5"/>
        <v>1.9446996407993874E-5</v>
      </c>
      <c r="BU9" s="7">
        <f t="shared" si="5"/>
        <v>5.5728149107832387E-2</v>
      </c>
      <c r="BV9" s="7">
        <f t="shared" si="5"/>
        <v>1.7261687589411638E-3</v>
      </c>
      <c r="BW9" s="7">
        <f t="shared" si="6"/>
        <v>6.2195132577674015E-5</v>
      </c>
      <c r="BX9" s="7">
        <f t="shared" si="6"/>
        <v>1.949298437671089E-3</v>
      </c>
      <c r="BY9" s="7">
        <f t="shared" si="6"/>
        <v>8.0685220591751056E-3</v>
      </c>
      <c r="BZ9" s="72">
        <f t="shared" si="25"/>
        <v>1</v>
      </c>
      <c r="CA9" s="73">
        <f t="shared" si="26"/>
        <v>0.87844853260229772</v>
      </c>
      <c r="CB9" s="74">
        <f t="shared" si="27"/>
        <v>0</v>
      </c>
      <c r="CC9" s="75">
        <f t="shared" si="28"/>
        <v>20151.56786076611</v>
      </c>
      <c r="CD9" s="76">
        <f t="shared" si="29"/>
        <v>124064.81880499571</v>
      </c>
      <c r="CE9" s="76">
        <f t="shared" si="30"/>
        <v>5761.468913779081</v>
      </c>
      <c r="CF9" s="76">
        <f t="shared" si="31"/>
        <v>4737.7684193435261</v>
      </c>
      <c r="CG9" s="77">
        <f t="shared" si="32"/>
        <v>871.72961005715149</v>
      </c>
      <c r="CH9" s="78">
        <f t="shared" si="33"/>
        <v>12442.815188077284</v>
      </c>
      <c r="CI9" s="79">
        <f t="shared" si="34"/>
        <v>470.04551672590412</v>
      </c>
      <c r="CJ9" s="79">
        <f t="shared" si="35"/>
        <v>131.9145708025336</v>
      </c>
      <c r="CK9" s="79">
        <f t="shared" si="36"/>
        <v>5132.5824542888195</v>
      </c>
      <c r="CL9" s="79">
        <f t="shared" si="37"/>
        <v>557.33532446276911</v>
      </c>
      <c r="CM9" s="80">
        <f t="shared" si="38"/>
        <v>2794.0254052978294</v>
      </c>
      <c r="CN9" s="8">
        <f t="shared" si="39"/>
        <v>177116.07206859667</v>
      </c>
      <c r="CO9" s="81">
        <f t="shared" si="7"/>
        <v>0</v>
      </c>
      <c r="CP9" s="82" t="str">
        <f t="shared" si="8"/>
        <v>Tochten FGIK</v>
      </c>
      <c r="CQ9" s="83">
        <f t="shared" si="9"/>
        <v>0.87844853260229772</v>
      </c>
      <c r="CR9" s="84">
        <f t="shared" si="10"/>
        <v>0.9254505612156837</v>
      </c>
      <c r="CS9" s="85">
        <f t="shared" si="11"/>
        <v>0.83420132412359049</v>
      </c>
      <c r="CT9" s="8">
        <f t="shared" si="12"/>
        <v>5037.8919651915276</v>
      </c>
      <c r="CU9" s="8">
        <f t="shared" si="12"/>
        <v>37219.445641498722</v>
      </c>
      <c r="CV9" s="8">
        <f t="shared" si="12"/>
        <v>1440.3672284447703</v>
      </c>
      <c r="CW9" s="8">
        <f t="shared" si="12"/>
        <v>1184.4421048358815</v>
      </c>
      <c r="CX9" s="8">
        <f t="shared" si="12"/>
        <v>217.93240251428787</v>
      </c>
      <c r="CY9" s="8">
        <f t="shared" si="40"/>
        <v>3110.703797019321</v>
      </c>
      <c r="CZ9" s="8">
        <f t="shared" si="13"/>
        <v>117.51137918147603</v>
      </c>
      <c r="DA9" s="8">
        <f t="shared" si="14"/>
        <v>13.191457080253358</v>
      </c>
      <c r="DB9" s="8">
        <f t="shared" si="15"/>
        <v>1283.1456135722049</v>
      </c>
      <c r="DC9" s="8">
        <f t="shared" si="16"/>
        <v>139.33383111569228</v>
      </c>
      <c r="DD9" s="8">
        <f t="shared" si="17"/>
        <v>698.50635132445734</v>
      </c>
      <c r="DE9" s="86">
        <f t="shared" si="41"/>
        <v>37605.751484287226</v>
      </c>
      <c r="DF9" s="86">
        <f t="shared" si="42"/>
        <v>37762.902344159171</v>
      </c>
      <c r="DG9" s="87">
        <f t="shared" si="18"/>
        <v>0.28312527336646398</v>
      </c>
      <c r="DH9" s="88">
        <f t="shared" si="43"/>
        <v>0.87844853260229772</v>
      </c>
      <c r="DI9" s="7">
        <f t="shared" si="44"/>
        <v>1.1615738059687617</v>
      </c>
      <c r="DJ9" s="89">
        <f t="shared" si="45"/>
        <v>0.59532325923583373</v>
      </c>
      <c r="DK9" s="90"/>
    </row>
    <row r="10" spans="1:115" x14ac:dyDescent="0.3">
      <c r="A10" s="91">
        <v>37106</v>
      </c>
      <c r="B10" s="92" t="s">
        <v>85</v>
      </c>
      <c r="C10" s="88">
        <f t="shared" si="2"/>
        <v>0.5681402724143072</v>
      </c>
      <c r="D10" s="93">
        <f t="shared" si="19"/>
        <v>1.9698116366487046</v>
      </c>
      <c r="E10" s="93">
        <v>2.5</v>
      </c>
      <c r="F10" s="94">
        <v>3.467121998371999</v>
      </c>
      <c r="G10" s="8">
        <v>6675.9389871253261</v>
      </c>
      <c r="H10" s="8">
        <v>2741.4055517000929</v>
      </c>
      <c r="I10" s="8">
        <v>1563.8946758475211</v>
      </c>
      <c r="J10" s="8">
        <v>2.1540216611616998</v>
      </c>
      <c r="K10" s="8">
        <v>1247.5566102219179</v>
      </c>
      <c r="L10" s="8">
        <v>3308.6753142733492</v>
      </c>
      <c r="M10" s="95">
        <v>722.0273279188757</v>
      </c>
      <c r="N10" s="96">
        <v>4152.9441806002187</v>
      </c>
      <c r="O10" s="71">
        <v>277.90993831613162</v>
      </c>
      <c r="P10" s="8">
        <v>4.4162509305141082</v>
      </c>
      <c r="Q10" s="95">
        <v>1311.265696408426</v>
      </c>
      <c r="R10" s="71">
        <v>0</v>
      </c>
      <c r="S10" s="8">
        <v>0</v>
      </c>
      <c r="T10" s="8">
        <v>1125.4394691697689</v>
      </c>
      <c r="U10" s="8">
        <v>0</v>
      </c>
      <c r="V10" s="8">
        <v>434.31345449046682</v>
      </c>
      <c r="W10" s="8">
        <v>38.938931502939468</v>
      </c>
      <c r="X10" s="8">
        <v>0</v>
      </c>
      <c r="Y10" s="95">
        <v>77.648201113252739</v>
      </c>
      <c r="Z10" s="97">
        <v>0</v>
      </c>
      <c r="AA10" s="8"/>
      <c r="AB10" s="98">
        <f t="shared" si="20"/>
        <v>3454.3063506618951</v>
      </c>
      <c r="AC10" s="71">
        <f t="shared" si="3"/>
        <v>27138.834961941862</v>
      </c>
      <c r="AD10" s="8">
        <v>14423.0437907711</v>
      </c>
      <c r="AE10" s="95">
        <f t="shared" si="21"/>
        <v>12715.791171170762</v>
      </c>
      <c r="AF10" s="99" t="s">
        <v>86</v>
      </c>
      <c r="AG10" s="100">
        <v>120.06563367742029</v>
      </c>
      <c r="AH10" s="101">
        <v>35.58021872850555</v>
      </c>
      <c r="AI10" s="101">
        <v>47.241469127978732</v>
      </c>
      <c r="AJ10" s="101">
        <v>0.15551169023443279</v>
      </c>
      <c r="AK10" s="101">
        <v>133.46529764230789</v>
      </c>
      <c r="AL10" s="101">
        <v>93.053943450200777</v>
      </c>
      <c r="AM10" s="98">
        <v>44.909622493762647</v>
      </c>
      <c r="AN10" s="101">
        <v>2370.1018139707571</v>
      </c>
      <c r="AO10" s="100">
        <v>8.8604252295120016</v>
      </c>
      <c r="AP10" s="101">
        <v>8.2874476467958258E-2</v>
      </c>
      <c r="AQ10" s="98">
        <v>32.209110181032827</v>
      </c>
      <c r="AR10" s="100">
        <v>41.458865109367707</v>
      </c>
      <c r="AS10" s="101">
        <v>0</v>
      </c>
      <c r="AT10" s="101">
        <v>135.47725375460041</v>
      </c>
      <c r="AU10" s="101">
        <v>1.0825180511564521</v>
      </c>
      <c r="AV10" s="101">
        <v>82.866249821483422</v>
      </c>
      <c r="AW10" s="101">
        <v>1.367225214160912</v>
      </c>
      <c r="AX10" s="101">
        <v>3.4620952406678751</v>
      </c>
      <c r="AY10" s="98">
        <v>2.8397282529615371</v>
      </c>
      <c r="AZ10" s="100">
        <v>300.02649454931571</v>
      </c>
      <c r="BA10" s="98"/>
      <c r="BB10" s="102">
        <f t="shared" si="22"/>
        <v>3454.3063506618951</v>
      </c>
      <c r="BC10" s="10">
        <f t="shared" si="23"/>
        <v>0</v>
      </c>
      <c r="BD10" s="71">
        <f t="shared" si="4"/>
        <v>37106</v>
      </c>
      <c r="BE10" s="8" t="str">
        <f t="shared" si="4"/>
        <v>Tochten FGIK ZUID</v>
      </c>
      <c r="BF10" s="7">
        <f t="shared" si="24"/>
        <v>0.25041622569034822</v>
      </c>
      <c r="BG10" s="7">
        <f t="shared" si="5"/>
        <v>0.10232516518571648</v>
      </c>
      <c r="BH10" s="7">
        <f t="shared" si="5"/>
        <v>5.9366444699445499E-2</v>
      </c>
      <c r="BI10" s="7">
        <f t="shared" si="5"/>
        <v>8.5100681537542272E-5</v>
      </c>
      <c r="BJ10" s="7">
        <f t="shared" si="5"/>
        <v>5.0887295265286868E-2</v>
      </c>
      <c r="BK10" s="7">
        <f t="shared" si="5"/>
        <v>0.12534544178090046</v>
      </c>
      <c r="BL10" s="7">
        <f t="shared" si="5"/>
        <v>2.825975954709007E-2</v>
      </c>
      <c r="BM10" s="7">
        <f t="shared" si="5"/>
        <v>0.24035836481995512</v>
      </c>
      <c r="BN10" s="7">
        <f t="shared" si="5"/>
        <v>1.0566789766318117E-2</v>
      </c>
      <c r="BO10" s="7">
        <f t="shared" si="5"/>
        <v>1.6578181831649786E-4</v>
      </c>
      <c r="BP10" s="7">
        <f t="shared" si="5"/>
        <v>4.9503775990144029E-2</v>
      </c>
      <c r="BQ10" s="7">
        <f t="shared" si="5"/>
        <v>1.5276582494240278E-3</v>
      </c>
      <c r="BR10" s="7">
        <f t="shared" si="5"/>
        <v>0</v>
      </c>
      <c r="BS10" s="7">
        <f t="shared" si="5"/>
        <v>4.6461711591253479E-2</v>
      </c>
      <c r="BT10" s="7">
        <f t="shared" si="5"/>
        <v>3.9888154840637818E-5</v>
      </c>
      <c r="BU10" s="7">
        <f t="shared" si="5"/>
        <v>1.9056813051747321E-2</v>
      </c>
      <c r="BV10" s="7">
        <f t="shared" si="5"/>
        <v>1.4851837513888753E-3</v>
      </c>
      <c r="BW10" s="7">
        <f t="shared" si="6"/>
        <v>1.2756978129396281E-4</v>
      </c>
      <c r="BX10" s="7">
        <f t="shared" si="6"/>
        <v>2.9657842526802092E-3</v>
      </c>
      <c r="BY10" s="7">
        <f t="shared" si="6"/>
        <v>1.1055245922312353E-2</v>
      </c>
      <c r="BZ10" s="72">
        <f t="shared" si="25"/>
        <v>0.99999999999999967</v>
      </c>
      <c r="CA10" s="73">
        <f t="shared" si="26"/>
        <v>0.56814027241430709</v>
      </c>
      <c r="CB10" s="74">
        <f t="shared" si="27"/>
        <v>0</v>
      </c>
      <c r="CC10" s="75">
        <f t="shared" si="28"/>
        <v>7163.1337943273093</v>
      </c>
      <c r="CD10" s="76">
        <f t="shared" si="29"/>
        <v>6523.0459945709754</v>
      </c>
      <c r="CE10" s="76">
        <f t="shared" si="30"/>
        <v>1301.2228796414699</v>
      </c>
      <c r="CF10" s="76">
        <f t="shared" si="31"/>
        <v>248.24625806973609</v>
      </c>
      <c r="CG10" s="77">
        <f t="shared" si="32"/>
        <v>183.01616167508257</v>
      </c>
      <c r="CH10" s="78">
        <f t="shared" si="33"/>
        <v>9572.9903912313457</v>
      </c>
      <c r="CI10" s="79">
        <f t="shared" si="34"/>
        <v>286.77036354564359</v>
      </c>
      <c r="CJ10" s="79">
        <f t="shared" si="35"/>
        <v>41.458865109367707</v>
      </c>
      <c r="CK10" s="79">
        <f t="shared" si="36"/>
        <v>268.93344624221413</v>
      </c>
      <c r="CL10" s="79">
        <f t="shared" si="37"/>
        <v>117.01033287423313</v>
      </c>
      <c r="CM10" s="80">
        <f t="shared" si="38"/>
        <v>1433.0064746544795</v>
      </c>
      <c r="CN10" s="8">
        <f t="shared" si="39"/>
        <v>27138.834961941859</v>
      </c>
      <c r="CO10" s="81">
        <f t="shared" si="7"/>
        <v>0</v>
      </c>
      <c r="CP10" s="82" t="str">
        <f t="shared" si="8"/>
        <v>Tochten FGIK ZUID</v>
      </c>
      <c r="CQ10" s="83">
        <f t="shared" si="9"/>
        <v>0.56814027241430709</v>
      </c>
      <c r="CR10" s="84">
        <f t="shared" si="10"/>
        <v>0.69022401290940116</v>
      </c>
      <c r="CS10" s="85">
        <f t="shared" si="11"/>
        <v>0.46134953521689487</v>
      </c>
      <c r="CT10" s="8">
        <f t="shared" si="12"/>
        <v>1790.7834485818273</v>
      </c>
      <c r="CU10" s="8">
        <f t="shared" si="12"/>
        <v>1956.9137983712928</v>
      </c>
      <c r="CV10" s="8">
        <f t="shared" si="12"/>
        <v>325.30571991036749</v>
      </c>
      <c r="CW10" s="8">
        <f t="shared" si="12"/>
        <v>62.061564517434022</v>
      </c>
      <c r="CX10" s="8">
        <f t="shared" si="12"/>
        <v>45.754040418770643</v>
      </c>
      <c r="CY10" s="8">
        <f t="shared" si="40"/>
        <v>2393.2475978078364</v>
      </c>
      <c r="CZ10" s="8">
        <f t="shared" si="13"/>
        <v>71.692590886410898</v>
      </c>
      <c r="DA10" s="8">
        <f t="shared" si="14"/>
        <v>4.1458865109367702</v>
      </c>
      <c r="DB10" s="8">
        <f t="shared" si="15"/>
        <v>67.233361560553533</v>
      </c>
      <c r="DC10" s="8">
        <f t="shared" si="16"/>
        <v>29.252583218558282</v>
      </c>
      <c r="DD10" s="8">
        <f t="shared" si="17"/>
        <v>358.25161866361987</v>
      </c>
      <c r="DE10" s="86">
        <f t="shared" si="41"/>
        <v>2673.6091440937994</v>
      </c>
      <c r="DF10" s="86">
        <f t="shared" si="42"/>
        <v>3607.5888341889408</v>
      </c>
      <c r="DG10" s="87">
        <f t="shared" si="18"/>
        <v>0.12413372070088267</v>
      </c>
      <c r="DH10" s="88">
        <f t="shared" si="43"/>
        <v>0.56814027241430709</v>
      </c>
      <c r="DI10" s="7">
        <f t="shared" si="44"/>
        <v>0.69227399311518978</v>
      </c>
      <c r="DJ10" s="89">
        <f t="shared" si="45"/>
        <v>0.4440065517134244</v>
      </c>
      <c r="DK10" s="90"/>
    </row>
    <row r="11" spans="1:115" x14ac:dyDescent="0.3">
      <c r="A11" s="91">
        <v>37107</v>
      </c>
      <c r="B11" s="92" t="s">
        <v>87</v>
      </c>
      <c r="C11" s="88">
        <f t="shared" si="2"/>
        <v>0.91446034281557176</v>
      </c>
      <c r="D11" s="93">
        <f t="shared" si="19"/>
        <v>1.6307558592591997</v>
      </c>
      <c r="E11" s="93">
        <v>2.4</v>
      </c>
      <c r="F11" s="94">
        <v>1.7832986111111113</v>
      </c>
      <c r="G11" s="8">
        <v>4759.1147773502144</v>
      </c>
      <c r="H11" s="8">
        <v>1664.2967599928279</v>
      </c>
      <c r="I11" s="8">
        <v>2589.3124809543579</v>
      </c>
      <c r="J11" s="8">
        <v>3.7655645045575938</v>
      </c>
      <c r="K11" s="8">
        <v>808.4989651128069</v>
      </c>
      <c r="L11" s="8">
        <v>3941.4592877634559</v>
      </c>
      <c r="M11" s="95">
        <v>100.4178311145165</v>
      </c>
      <c r="N11" s="96">
        <v>106852.1025327183</v>
      </c>
      <c r="O11" s="71">
        <v>184.08080518452789</v>
      </c>
      <c r="P11" s="8">
        <v>21.552841767310071</v>
      </c>
      <c r="Q11" s="95">
        <v>1626.661175494701</v>
      </c>
      <c r="R11" s="71">
        <v>0</v>
      </c>
      <c r="S11" s="8">
        <v>0</v>
      </c>
      <c r="T11" s="8">
        <v>995.54704089791892</v>
      </c>
      <c r="U11" s="8">
        <v>38.781958839028462</v>
      </c>
      <c r="V11" s="8">
        <v>374.63570373249058</v>
      </c>
      <c r="W11" s="8">
        <v>0</v>
      </c>
      <c r="X11" s="8">
        <v>0</v>
      </c>
      <c r="Y11" s="95">
        <v>196.42005443328799</v>
      </c>
      <c r="Z11" s="97">
        <v>0</v>
      </c>
      <c r="AA11" s="8"/>
      <c r="AB11" s="98">
        <f t="shared" si="20"/>
        <v>60607.375061613238</v>
      </c>
      <c r="AC11" s="71">
        <f t="shared" si="3"/>
        <v>184764.02284147355</v>
      </c>
      <c r="AD11" s="8">
        <v>11169.898899050801</v>
      </c>
      <c r="AE11" s="95">
        <f t="shared" si="21"/>
        <v>173594.12394242274</v>
      </c>
      <c r="AF11" s="99" t="s">
        <v>88</v>
      </c>
      <c r="AG11" s="100">
        <v>2106.6061181583741</v>
      </c>
      <c r="AH11" s="101">
        <v>624.27111041832461</v>
      </c>
      <c r="AI11" s="101">
        <v>828.87304924544515</v>
      </c>
      <c r="AJ11" s="101">
        <v>2.7285232922950469</v>
      </c>
      <c r="AK11" s="101">
        <v>2341.7093131786751</v>
      </c>
      <c r="AL11" s="101">
        <v>1632.673735080796</v>
      </c>
      <c r="AM11" s="98">
        <v>787.95974011783562</v>
      </c>
      <c r="AN11" s="101">
        <v>41584.51364512329</v>
      </c>
      <c r="AO11" s="100">
        <v>155.46018811780149</v>
      </c>
      <c r="AP11" s="101">
        <v>1.454070359846904</v>
      </c>
      <c r="AQ11" s="98">
        <v>565.12347863084881</v>
      </c>
      <c r="AR11" s="100">
        <v>727.41463328254258</v>
      </c>
      <c r="AS11" s="101">
        <v>0</v>
      </c>
      <c r="AT11" s="101">
        <v>2377.009997694352</v>
      </c>
      <c r="AU11" s="101">
        <v>18.99327126119957</v>
      </c>
      <c r="AV11" s="101">
        <v>1453.926019595119</v>
      </c>
      <c r="AW11" s="101">
        <v>23.988587848459641</v>
      </c>
      <c r="AX11" s="101">
        <v>60.744034677172714</v>
      </c>
      <c r="AY11" s="98">
        <v>49.824322983779687</v>
      </c>
      <c r="AZ11" s="100">
        <v>5264.1012225470859</v>
      </c>
      <c r="BA11" s="98"/>
      <c r="BB11" s="102">
        <f t="shared" si="22"/>
        <v>60607.375061613238</v>
      </c>
      <c r="BC11" s="10">
        <f t="shared" si="23"/>
        <v>0</v>
      </c>
      <c r="BD11" s="71">
        <f t="shared" si="4"/>
        <v>37107</v>
      </c>
      <c r="BE11" s="8" t="str">
        <f t="shared" si="4"/>
        <v>Tochten H</v>
      </c>
      <c r="BF11" s="7">
        <f t="shared" si="24"/>
        <v>3.7159403599906118E-2</v>
      </c>
      <c r="BG11" s="7">
        <f t="shared" si="5"/>
        <v>1.2386436684022247E-2</v>
      </c>
      <c r="BH11" s="7">
        <f t="shared" si="5"/>
        <v>1.8500276610304085E-2</v>
      </c>
      <c r="BI11" s="7">
        <f t="shared" si="5"/>
        <v>3.5148010402569176E-5</v>
      </c>
      <c r="BJ11" s="7">
        <f t="shared" si="5"/>
        <v>1.7049900894365904E-2</v>
      </c>
      <c r="BK11" s="7">
        <f t="shared" si="5"/>
        <v>3.0168930818457149E-2</v>
      </c>
      <c r="BL11" s="7">
        <f t="shared" si="5"/>
        <v>4.8081740025468856E-3</v>
      </c>
      <c r="BM11" s="7">
        <f t="shared" si="5"/>
        <v>0.80338484676315658</v>
      </c>
      <c r="BN11" s="7">
        <f t="shared" si="5"/>
        <v>1.8377008038716152E-3</v>
      </c>
      <c r="BO11" s="7">
        <f t="shared" si="5"/>
        <v>1.2452051959756672E-4</v>
      </c>
      <c r="BP11" s="7">
        <f t="shared" si="5"/>
        <v>1.186261600293304E-2</v>
      </c>
      <c r="BQ11" s="7">
        <f t="shared" si="5"/>
        <v>3.9369928306154066E-3</v>
      </c>
      <c r="BR11" s="7">
        <f t="shared" si="5"/>
        <v>0</v>
      </c>
      <c r="BS11" s="7">
        <f t="shared" si="5"/>
        <v>1.8253321110495116E-2</v>
      </c>
      <c r="BT11" s="7">
        <f t="shared" si="5"/>
        <v>3.1269740294515475E-4</v>
      </c>
      <c r="BU11" s="7">
        <f t="shared" si="5"/>
        <v>9.8967412335273994E-3</v>
      </c>
      <c r="BV11" s="7">
        <f t="shared" si="5"/>
        <v>1.298336520256528E-4</v>
      </c>
      <c r="BW11" s="7">
        <f t="shared" si="6"/>
        <v>3.2876549093808561E-4</v>
      </c>
      <c r="BX11" s="7">
        <f t="shared" si="6"/>
        <v>1.3327506818161452E-3</v>
      </c>
      <c r="BY11" s="7">
        <f t="shared" si="6"/>
        <v>2.8490942888073259E-2</v>
      </c>
      <c r="BZ11" s="72">
        <f t="shared" si="25"/>
        <v>1</v>
      </c>
      <c r="CA11" s="73">
        <f t="shared" si="26"/>
        <v>0.91446034281557176</v>
      </c>
      <c r="CB11" s="74">
        <f t="shared" si="27"/>
        <v>0</v>
      </c>
      <c r="CC11" s="75">
        <f t="shared" si="28"/>
        <v>13037.39849036474</v>
      </c>
      <c r="CD11" s="76">
        <f t="shared" si="29"/>
        <v>148436.61617784158</v>
      </c>
      <c r="CE11" s="76">
        <f t="shared" si="30"/>
        <v>3396.5456264407308</v>
      </c>
      <c r="CF11" s="76">
        <f t="shared" si="31"/>
        <v>877.70962719725253</v>
      </c>
      <c r="CG11" s="77">
        <f t="shared" si="32"/>
        <v>3211.1017457537223</v>
      </c>
      <c r="CH11" s="78">
        <f t="shared" si="33"/>
        <v>9154.2887659197422</v>
      </c>
      <c r="CI11" s="79">
        <f t="shared" si="34"/>
        <v>339.54099330232941</v>
      </c>
      <c r="CJ11" s="79">
        <f t="shared" si="35"/>
        <v>727.41463328254258</v>
      </c>
      <c r="CK11" s="79">
        <f t="shared" si="36"/>
        <v>950.85209613035704</v>
      </c>
      <c r="CL11" s="79">
        <f t="shared" si="37"/>
        <v>2052.9994767933636</v>
      </c>
      <c r="CM11" s="80">
        <f t="shared" si="38"/>
        <v>2579.5552084471751</v>
      </c>
      <c r="CN11" s="8">
        <f t="shared" si="39"/>
        <v>184764.02284147355</v>
      </c>
      <c r="CO11" s="81">
        <f t="shared" si="7"/>
        <v>0</v>
      </c>
      <c r="CP11" s="82" t="str">
        <f t="shared" si="8"/>
        <v>Tochten H</v>
      </c>
      <c r="CQ11" s="83">
        <f t="shared" si="9"/>
        <v>0.91446034281557176</v>
      </c>
      <c r="CR11" s="84">
        <f t="shared" si="10"/>
        <v>0.94812034251111521</v>
      </c>
      <c r="CS11" s="85">
        <f t="shared" si="11"/>
        <v>0.88349344104009908</v>
      </c>
      <c r="CT11" s="8">
        <f t="shared" si="12"/>
        <v>3259.3496225911849</v>
      </c>
      <c r="CU11" s="8">
        <f t="shared" si="12"/>
        <v>44530.984853352486</v>
      </c>
      <c r="CV11" s="8">
        <f t="shared" si="12"/>
        <v>849.13640661018269</v>
      </c>
      <c r="CW11" s="8">
        <f t="shared" si="12"/>
        <v>219.42740679931313</v>
      </c>
      <c r="CX11" s="8">
        <f t="shared" si="12"/>
        <v>802.77543643843057</v>
      </c>
      <c r="CY11" s="8">
        <f t="shared" si="40"/>
        <v>2288.5721914799356</v>
      </c>
      <c r="CZ11" s="8">
        <f t="shared" si="13"/>
        <v>84.885248325582353</v>
      </c>
      <c r="DA11" s="8">
        <f t="shared" si="14"/>
        <v>72.741463328254241</v>
      </c>
      <c r="DB11" s="8">
        <f t="shared" si="15"/>
        <v>237.71302403258926</v>
      </c>
      <c r="DC11" s="8">
        <f t="shared" si="16"/>
        <v>513.24986919834089</v>
      </c>
      <c r="DD11" s="8">
        <f t="shared" si="17"/>
        <v>644.88880211179378</v>
      </c>
      <c r="DE11" s="86">
        <f t="shared" si="41"/>
        <v>44665.933342951961</v>
      </c>
      <c r="DF11" s="86">
        <f t="shared" si="42"/>
        <v>44732.890308760841</v>
      </c>
      <c r="DG11" s="87">
        <f t="shared" si="18"/>
        <v>0.32780831234539931</v>
      </c>
      <c r="DH11" s="88">
        <f t="shared" si="43"/>
        <v>0.91446034281557176</v>
      </c>
      <c r="DI11" s="7">
        <f t="shared" si="44"/>
        <v>1.242268655160971</v>
      </c>
      <c r="DJ11" s="89">
        <f t="shared" si="45"/>
        <v>0.58665203047017245</v>
      </c>
      <c r="DK11" s="90"/>
    </row>
    <row r="12" spans="1:115" x14ac:dyDescent="0.3">
      <c r="A12" s="91">
        <v>37108</v>
      </c>
      <c r="B12" s="92" t="s">
        <v>89</v>
      </c>
      <c r="C12" s="88">
        <f t="shared" si="2"/>
        <v>0.84388648546948242</v>
      </c>
      <c r="D12" s="93">
        <f t="shared" si="19"/>
        <v>6.0599666995031107</v>
      </c>
      <c r="E12" s="93">
        <v>5</v>
      </c>
      <c r="F12" s="94">
        <v>7.181021148989899</v>
      </c>
      <c r="G12" s="8">
        <v>14373.531439894959</v>
      </c>
      <c r="H12" s="8">
        <v>4533.5216982175398</v>
      </c>
      <c r="I12" s="8">
        <v>4656.5873771127299</v>
      </c>
      <c r="J12" s="8">
        <v>16.118091604065309</v>
      </c>
      <c r="K12" s="8">
        <v>10675.989336796451</v>
      </c>
      <c r="L12" s="8">
        <v>5967.9401945980781</v>
      </c>
      <c r="M12" s="95">
        <v>1937.9043535865189</v>
      </c>
      <c r="N12" s="96">
        <v>106217.5376090397</v>
      </c>
      <c r="O12" s="71">
        <v>351.13991251079477</v>
      </c>
      <c r="P12" s="8">
        <v>9.6107120908692796</v>
      </c>
      <c r="Q12" s="95">
        <v>2122.1407364122229</v>
      </c>
      <c r="R12" s="71">
        <v>0</v>
      </c>
      <c r="S12" s="8">
        <v>0</v>
      </c>
      <c r="T12" s="8">
        <v>6068.3926858682244</v>
      </c>
      <c r="U12" s="8">
        <v>100.1822726717778</v>
      </c>
      <c r="V12" s="8">
        <v>6177.4334368486452</v>
      </c>
      <c r="W12" s="8">
        <v>59.660294859145893</v>
      </c>
      <c r="X12" s="8">
        <v>2.84475295032999</v>
      </c>
      <c r="Y12" s="95">
        <v>325.05505203627229</v>
      </c>
      <c r="Z12" s="97">
        <v>2177.0840881547219</v>
      </c>
      <c r="AA12" s="8"/>
      <c r="AB12" s="98">
        <f t="shared" si="20"/>
        <v>0</v>
      </c>
      <c r="AC12" s="71">
        <f t="shared" si="3"/>
        <v>165772.67404525302</v>
      </c>
      <c r="AD12" s="8">
        <v>31637.216939112299</v>
      </c>
      <c r="AE12" s="95">
        <f t="shared" si="21"/>
        <v>134135.45710614073</v>
      </c>
      <c r="AF12" s="99" t="s">
        <v>90</v>
      </c>
      <c r="AG12" s="100"/>
      <c r="AH12" s="101"/>
      <c r="AI12" s="101"/>
      <c r="AJ12" s="101"/>
      <c r="AK12" s="101"/>
      <c r="AL12" s="101"/>
      <c r="AM12" s="98"/>
      <c r="AN12" s="101"/>
      <c r="AO12" s="100"/>
      <c r="AP12" s="101"/>
      <c r="AQ12" s="98"/>
      <c r="AR12" s="100"/>
      <c r="AS12" s="101"/>
      <c r="AT12" s="101"/>
      <c r="AU12" s="101"/>
      <c r="AV12" s="101"/>
      <c r="AW12" s="101"/>
      <c r="AX12" s="101"/>
      <c r="AY12" s="98"/>
      <c r="AZ12" s="100"/>
      <c r="BA12" s="98"/>
      <c r="BB12" s="102"/>
      <c r="BC12" s="10">
        <f t="shared" si="23"/>
        <v>0</v>
      </c>
      <c r="BD12" s="71">
        <f t="shared" si="4"/>
        <v>37108</v>
      </c>
      <c r="BE12" s="8" t="str">
        <f t="shared" si="4"/>
        <v>Tochten  J</v>
      </c>
      <c r="BF12" s="7">
        <f t="shared" si="24"/>
        <v>8.6706277272038446E-2</v>
      </c>
      <c r="BG12" s="7">
        <f t="shared" si="5"/>
        <v>2.734782269953592E-2</v>
      </c>
      <c r="BH12" s="7">
        <f t="shared" si="5"/>
        <v>2.8090198845688908E-2</v>
      </c>
      <c r="BI12" s="7">
        <f t="shared" si="5"/>
        <v>9.7230087509267982E-5</v>
      </c>
      <c r="BJ12" s="7">
        <f t="shared" si="5"/>
        <v>6.4401382183664924E-2</v>
      </c>
      <c r="BK12" s="7">
        <f t="shared" si="5"/>
        <v>3.6000747583820332E-2</v>
      </c>
      <c r="BL12" s="7">
        <f t="shared" si="5"/>
        <v>1.1690131469179927E-2</v>
      </c>
      <c r="BM12" s="7">
        <f t="shared" si="5"/>
        <v>0.64074213811646774</v>
      </c>
      <c r="BN12" s="7">
        <f t="shared" si="5"/>
        <v>2.1182014136717116E-3</v>
      </c>
      <c r="BO12" s="7">
        <f t="shared" si="5"/>
        <v>5.7975249215354543E-5</v>
      </c>
      <c r="BP12" s="7">
        <f t="shared" si="5"/>
        <v>1.2801511157580265E-2</v>
      </c>
      <c r="BQ12" s="7">
        <f t="shared" si="5"/>
        <v>0</v>
      </c>
      <c r="BR12" s="7">
        <f t="shared" si="5"/>
        <v>0</v>
      </c>
      <c r="BS12" s="7">
        <f t="shared" si="5"/>
        <v>3.6606712902584056E-2</v>
      </c>
      <c r="BT12" s="7">
        <f t="shared" si="5"/>
        <v>6.043352636299382E-4</v>
      </c>
      <c r="BU12" s="7">
        <f t="shared" si="5"/>
        <v>3.7264485672483721E-2</v>
      </c>
      <c r="BV12" s="7">
        <f t="shared" si="5"/>
        <v>3.5989221506350124E-4</v>
      </c>
      <c r="BW12" s="7">
        <f t="shared" si="6"/>
        <v>1.7160566219456787E-5</v>
      </c>
      <c r="BX12" s="7">
        <f t="shared" si="6"/>
        <v>1.9608482152344239E-3</v>
      </c>
      <c r="BY12" s="7">
        <f t="shared" si="6"/>
        <v>1.3132949086412254E-2</v>
      </c>
      <c r="BZ12" s="72">
        <f t="shared" si="25"/>
        <v>1.0000000000000002</v>
      </c>
      <c r="CA12" s="73">
        <f t="shared" si="26"/>
        <v>0.84388648546948231</v>
      </c>
      <c r="CB12" s="74">
        <f t="shared" si="27"/>
        <v>0</v>
      </c>
      <c r="CC12" s="75">
        <f t="shared" si="28"/>
        <v>23254.539353697844</v>
      </c>
      <c r="CD12" s="76">
        <f t="shared" si="29"/>
        <v>106217.5376090397</v>
      </c>
      <c r="CE12" s="76">
        <f t="shared" si="30"/>
        <v>6128.0529807273706</v>
      </c>
      <c r="CF12" s="76">
        <f t="shared" si="31"/>
        <v>2965.1680496873496</v>
      </c>
      <c r="CG12" s="77">
        <f t="shared" si="32"/>
        <v>1328.0212937743804</v>
      </c>
      <c r="CH12" s="78">
        <f t="shared" si="33"/>
        <v>18907.0531381125</v>
      </c>
      <c r="CI12" s="79">
        <f t="shared" si="34"/>
        <v>351.13991251079477</v>
      </c>
      <c r="CJ12" s="79">
        <f t="shared" si="35"/>
        <v>0</v>
      </c>
      <c r="CK12" s="79">
        <f t="shared" si="36"/>
        <v>3212.2653871612956</v>
      </c>
      <c r="CL12" s="79">
        <f t="shared" si="37"/>
        <v>849.06279438034153</v>
      </c>
      <c r="CM12" s="80">
        <f t="shared" si="38"/>
        <v>2559.833526161472</v>
      </c>
      <c r="CN12" s="8">
        <f t="shared" si="39"/>
        <v>165772.67404525305</v>
      </c>
      <c r="CO12" s="81">
        <f t="shared" si="7"/>
        <v>0</v>
      </c>
      <c r="CP12" s="82" t="str">
        <f t="shared" si="8"/>
        <v>Tochten  J</v>
      </c>
      <c r="CQ12" s="83">
        <f t="shared" si="9"/>
        <v>0.84388648546948231</v>
      </c>
      <c r="CR12" s="84">
        <f t="shared" si="10"/>
        <v>0.90275162220642324</v>
      </c>
      <c r="CS12" s="85">
        <f t="shared" si="11"/>
        <v>0.78884588440979009</v>
      </c>
      <c r="CT12" s="8">
        <f t="shared" si="12"/>
        <v>5813.6348384244611</v>
      </c>
      <c r="CU12" s="8">
        <f t="shared" si="12"/>
        <v>31865.261282711916</v>
      </c>
      <c r="CV12" s="8">
        <f t="shared" si="12"/>
        <v>1532.0132451818426</v>
      </c>
      <c r="CW12" s="8">
        <f t="shared" si="12"/>
        <v>741.2920124218374</v>
      </c>
      <c r="CX12" s="8">
        <f t="shared" si="12"/>
        <v>332.0053234435951</v>
      </c>
      <c r="CY12" s="8">
        <f t="shared" si="40"/>
        <v>4726.763284528125</v>
      </c>
      <c r="CZ12" s="8">
        <f t="shared" si="13"/>
        <v>87.784978127698693</v>
      </c>
      <c r="DA12" s="8">
        <f t="shared" si="14"/>
        <v>0</v>
      </c>
      <c r="DB12" s="8">
        <f t="shared" si="15"/>
        <v>803.06634679032391</v>
      </c>
      <c r="DC12" s="8">
        <f t="shared" si="16"/>
        <v>212.26569859508538</v>
      </c>
      <c r="DD12" s="8">
        <f t="shared" si="17"/>
        <v>639.95838154036801</v>
      </c>
      <c r="DE12" s="86">
        <f t="shared" si="41"/>
        <v>32437.632968759135</v>
      </c>
      <c r="DF12" s="86">
        <f t="shared" si="42"/>
        <v>32797.0966547426</v>
      </c>
      <c r="DG12" s="87">
        <f t="shared" si="18"/>
        <v>0.25722312713539591</v>
      </c>
      <c r="DH12" s="88">
        <f t="shared" si="43"/>
        <v>0.84388648546948231</v>
      </c>
      <c r="DI12" s="7">
        <f t="shared" si="44"/>
        <v>1.1011096126048783</v>
      </c>
      <c r="DJ12" s="89">
        <f t="shared" si="45"/>
        <v>0.58666335833408634</v>
      </c>
      <c r="DK12" s="90"/>
    </row>
    <row r="13" spans="1:115" x14ac:dyDescent="0.3">
      <c r="A13" s="91">
        <v>37109</v>
      </c>
      <c r="B13" s="92" t="s">
        <v>91</v>
      </c>
      <c r="C13" s="88">
        <f>(SUMPRODUCT(G13:AA13,$G$20:$AA$20)+SUMPRODUCT(AG13:BA13,$AG$20:$BA$20))/AC13</f>
        <v>0.66366033658936974</v>
      </c>
      <c r="D13" s="93">
        <f t="shared" si="19"/>
        <v>2.3513521508508775</v>
      </c>
      <c r="E13" s="93">
        <v>3.5</v>
      </c>
      <c r="F13" s="94">
        <v>3.5430053917863447</v>
      </c>
      <c r="G13" s="8">
        <v>77717.78305637218</v>
      </c>
      <c r="H13" s="8">
        <v>11375.002485978541</v>
      </c>
      <c r="I13" s="8">
        <v>9339.4550510901863</v>
      </c>
      <c r="J13" s="8">
        <v>80.366777345785991</v>
      </c>
      <c r="K13" s="8">
        <v>52518.247489327623</v>
      </c>
      <c r="L13" s="8">
        <v>23906.885474347229</v>
      </c>
      <c r="M13" s="95">
        <v>3309.4182667280711</v>
      </c>
      <c r="N13" s="96">
        <v>119900.81150941949</v>
      </c>
      <c r="O13" s="71">
        <v>1224.1176392927391</v>
      </c>
      <c r="P13" s="8">
        <v>2939.2948407990261</v>
      </c>
      <c r="Q13" s="95">
        <v>7300.7011830682459</v>
      </c>
      <c r="R13" s="71">
        <v>0</v>
      </c>
      <c r="S13" s="8">
        <v>0</v>
      </c>
      <c r="T13" s="8">
        <v>8988.6929785723441</v>
      </c>
      <c r="U13" s="8">
        <v>508.85666307433343</v>
      </c>
      <c r="V13" s="8">
        <v>2255.4110168172192</v>
      </c>
      <c r="W13" s="8">
        <v>87.28791307949794</v>
      </c>
      <c r="X13" s="8">
        <v>1.0079642532175821</v>
      </c>
      <c r="Y13" s="95">
        <v>678.17456522487532</v>
      </c>
      <c r="Z13" s="97">
        <v>96612.930309764677</v>
      </c>
      <c r="AA13" s="8"/>
      <c r="AB13" s="98">
        <f t="shared" si="20"/>
        <v>9871.311837847592</v>
      </c>
      <c r="AC13" s="71">
        <f t="shared" si="3"/>
        <v>428615.75702240277</v>
      </c>
      <c r="AD13" s="8">
        <v>93235.466525312499</v>
      </c>
      <c r="AE13" s="95">
        <f t="shared" si="21"/>
        <v>335380.29049709026</v>
      </c>
      <c r="AF13" s="99" t="s">
        <v>92</v>
      </c>
      <c r="AG13" s="100">
        <v>1162.225169335032</v>
      </c>
      <c r="AH13" s="101">
        <v>160.62106796253201</v>
      </c>
      <c r="AI13" s="101">
        <v>191.3500277060983</v>
      </c>
      <c r="AJ13" s="101">
        <v>42.135970045597709</v>
      </c>
      <c r="AK13" s="101">
        <v>572.21972965997304</v>
      </c>
      <c r="AL13" s="101">
        <v>635.50863824459168</v>
      </c>
      <c r="AM13" s="98">
        <v>223.1742451621873</v>
      </c>
      <c r="AN13" s="101">
        <v>1967.6903394037049</v>
      </c>
      <c r="AO13" s="100">
        <v>151.45714615980631</v>
      </c>
      <c r="AP13" s="101">
        <v>56.757436618988017</v>
      </c>
      <c r="AQ13" s="98">
        <v>240.2707212196847</v>
      </c>
      <c r="AR13" s="100">
        <v>372.334791402338</v>
      </c>
      <c r="AS13" s="101">
        <v>43.679733760035433</v>
      </c>
      <c r="AT13" s="101">
        <v>627.43845158061845</v>
      </c>
      <c r="AU13" s="101">
        <v>17.848915246884228</v>
      </c>
      <c r="AV13" s="101">
        <v>66.015263020738587</v>
      </c>
      <c r="AW13" s="101">
        <v>12.87381034557243</v>
      </c>
      <c r="AX13" s="101">
        <v>25.088318902187709</v>
      </c>
      <c r="AY13" s="98">
        <v>18.115836402026389</v>
      </c>
      <c r="AZ13" s="100">
        <v>3284.506225668993</v>
      </c>
      <c r="BA13" s="98"/>
      <c r="BB13" s="102">
        <f t="shared" si="22"/>
        <v>9871.311837847592</v>
      </c>
      <c r="BC13" s="10">
        <f t="shared" si="23"/>
        <v>0</v>
      </c>
      <c r="BD13" s="71">
        <f t="shared" si="4"/>
        <v>37109</v>
      </c>
      <c r="BE13" s="8" t="str">
        <f t="shared" si="4"/>
        <v>Tochten lage afdeling NOP</v>
      </c>
      <c r="BF13" s="7">
        <f t="shared" si="24"/>
        <v>0.18403431729548927</v>
      </c>
      <c r="BG13" s="7">
        <f t="shared" si="5"/>
        <v>2.6913671196036156E-2</v>
      </c>
      <c r="BH13" s="7">
        <f t="shared" si="5"/>
        <v>2.2236245221143678E-2</v>
      </c>
      <c r="BI13" s="7">
        <f t="shared" si="5"/>
        <v>2.8581018169376534E-4</v>
      </c>
      <c r="BJ13" s="7">
        <f t="shared" si="5"/>
        <v>0.1238649451149615</v>
      </c>
      <c r="BK13" s="7">
        <f t="shared" si="5"/>
        <v>5.7259663720923462E-2</v>
      </c>
      <c r="BL13" s="7">
        <f t="shared" si="5"/>
        <v>8.2418633799914588E-3</v>
      </c>
      <c r="BM13" s="7">
        <f t="shared" si="5"/>
        <v>0.28433042848318202</v>
      </c>
      <c r="BN13" s="7">
        <f t="shared" si="5"/>
        <v>3.2093425472938162E-3</v>
      </c>
      <c r="BO13" s="7">
        <f t="shared" si="5"/>
        <v>6.9900656434836042E-3</v>
      </c>
      <c r="BP13" s="7">
        <f t="shared" si="5"/>
        <v>1.7593781331501027E-2</v>
      </c>
      <c r="BQ13" s="7">
        <f t="shared" si="5"/>
        <v>8.6869132854319427E-4</v>
      </c>
      <c r="BR13" s="7">
        <f t="shared" si="5"/>
        <v>1.0190883803124482E-4</v>
      </c>
      <c r="BS13" s="7">
        <f t="shared" si="5"/>
        <v>2.2435319450120797E-2</v>
      </c>
      <c r="BT13" s="7">
        <f t="shared" si="5"/>
        <v>1.2288525787764913E-3</v>
      </c>
      <c r="BU13" s="7">
        <f t="shared" si="5"/>
        <v>5.4161011157520794E-3</v>
      </c>
      <c r="BV13" s="7">
        <f t="shared" si="5"/>
        <v>2.3368651708209398E-4</v>
      </c>
      <c r="BW13" s="7">
        <f t="shared" si="6"/>
        <v>6.0885029838138447E-5</v>
      </c>
      <c r="BX13" s="7">
        <f t="shared" si="6"/>
        <v>1.6245095758122307E-3</v>
      </c>
      <c r="BY13" s="7">
        <f t="shared" si="6"/>
        <v>0.23306991145034425</v>
      </c>
      <c r="BZ13" s="72">
        <f t="shared" si="25"/>
        <v>1.0000000000000002</v>
      </c>
      <c r="CA13" s="73">
        <f>SUMPRODUCT(BF13:BY13,$BF$20:$BY$20)</f>
        <v>0.66366033658936985</v>
      </c>
      <c r="CB13" s="74">
        <f t="shared" si="27"/>
        <v>0</v>
      </c>
      <c r="CC13" s="75">
        <f t="shared" si="28"/>
        <v>90818.761669657353</v>
      </c>
      <c r="CD13" s="76">
        <f t="shared" si="29"/>
        <v>121868.5018488232</v>
      </c>
      <c r="CE13" s="76">
        <f t="shared" si="30"/>
        <v>9716.2931535780317</v>
      </c>
      <c r="CF13" s="76">
        <f t="shared" si="31"/>
        <v>1114.2846143222196</v>
      </c>
      <c r="CG13" s="77">
        <f t="shared" si="32"/>
        <v>60937.436286614538</v>
      </c>
      <c r="CH13" s="78">
        <f t="shared" si="33"/>
        <v>90415.631779648291</v>
      </c>
      <c r="CI13" s="79">
        <f t="shared" si="34"/>
        <v>1375.5747854525455</v>
      </c>
      <c r="CJ13" s="79">
        <f t="shared" si="35"/>
        <v>372.334791402338</v>
      </c>
      <c r="CK13" s="79">
        <f t="shared" si="36"/>
        <v>1207.1416655157382</v>
      </c>
      <c r="CL13" s="79">
        <f t="shared" si="37"/>
        <v>38960.000248819139</v>
      </c>
      <c r="CM13" s="80">
        <f t="shared" si="38"/>
        <v>11829.796178569506</v>
      </c>
      <c r="CN13" s="8">
        <f t="shared" si="39"/>
        <v>428615.75702240289</v>
      </c>
      <c r="CO13" s="81">
        <f t="shared" si="7"/>
        <v>0</v>
      </c>
      <c r="CP13" s="103" t="str">
        <f t="shared" si="8"/>
        <v>Tochten lage afdeling NOP</v>
      </c>
      <c r="CQ13" s="83">
        <f t="shared" si="9"/>
        <v>0.66366033658936985</v>
      </c>
      <c r="CR13" s="84">
        <f>SUMPRODUCT(CC13:CG13,$CC$19:$CG$19)/SUMPRODUCT(CC13:CM13,$CC$19:$CM$19)</f>
        <v>0.76362773947577256</v>
      </c>
      <c r="CS13" s="85">
        <f>SUMPRODUCT(CC13:CG13,$CC$20:$CG$20)/SUMPRODUCT(CC13:CM13,$CC$20:$CM$20)</f>
        <v>0.54916433546245591</v>
      </c>
      <c r="CT13" s="8">
        <f>CC13*(CC$1-1)</f>
        <v>22704.690417414338</v>
      </c>
      <c r="CU13" s="104">
        <f>CD13*(CD$19-1)</f>
        <v>24373.700369764636</v>
      </c>
      <c r="CV13" s="8">
        <f t="shared" ref="CV13:CX16" si="46">CE13*(CE$1-1)</f>
        <v>2429.0732883945079</v>
      </c>
      <c r="CW13" s="8">
        <f t="shared" si="46"/>
        <v>278.57115358055489</v>
      </c>
      <c r="CX13" s="8">
        <f t="shared" si="46"/>
        <v>15234.359071653635</v>
      </c>
      <c r="CY13" s="8">
        <f t="shared" si="40"/>
        <v>22603.907944912073</v>
      </c>
      <c r="CZ13" s="8">
        <f t="shared" si="13"/>
        <v>343.89369636313637</v>
      </c>
      <c r="DA13" s="8">
        <f t="shared" si="14"/>
        <v>37.23347914023379</v>
      </c>
      <c r="DB13" s="8">
        <f t="shared" si="15"/>
        <v>301.78541637893454</v>
      </c>
      <c r="DC13" s="8">
        <f t="shared" si="16"/>
        <v>9740.0000622047846</v>
      </c>
      <c r="DD13" s="8">
        <f t="shared" si="17"/>
        <v>2957.4490446423765</v>
      </c>
      <c r="DE13" s="86">
        <f t="shared" si="41"/>
        <v>36710.270115020481</v>
      </c>
      <c r="DF13" s="86">
        <f t="shared" si="42"/>
        <v>44299.045317107411</v>
      </c>
      <c r="DG13" s="87">
        <f t="shared" si="18"/>
        <v>0.10972915629865017</v>
      </c>
      <c r="DH13" s="88">
        <f t="shared" si="43"/>
        <v>0.66366033658936985</v>
      </c>
      <c r="DI13" s="7">
        <f t="shared" si="44"/>
        <v>0.77338949288802006</v>
      </c>
      <c r="DJ13" s="89">
        <f t="shared" si="45"/>
        <v>0.55393118029071964</v>
      </c>
      <c r="DK13" s="90"/>
    </row>
    <row r="14" spans="1:115" ht="14.7" customHeight="1" x14ac:dyDescent="0.3">
      <c r="A14" s="91">
        <v>37110</v>
      </c>
      <c r="B14" s="92" t="s">
        <v>93</v>
      </c>
      <c r="C14" s="88">
        <f t="shared" si="2"/>
        <v>0.85683545501262759</v>
      </c>
      <c r="D14" s="93"/>
      <c r="E14" s="93"/>
      <c r="F14" s="94"/>
      <c r="G14" s="8">
        <v>124.4007986299997</v>
      </c>
      <c r="H14" s="8">
        <v>33.287636772819383</v>
      </c>
      <c r="I14" s="8">
        <v>44.700895472824982</v>
      </c>
      <c r="J14" s="8">
        <v>0.47076688121129912</v>
      </c>
      <c r="K14" s="8">
        <v>67.961593848342048</v>
      </c>
      <c r="L14" s="8">
        <v>87.036175297099533</v>
      </c>
      <c r="M14" s="95">
        <v>3055.4642397566799</v>
      </c>
      <c r="N14" s="96">
        <v>381.57430725846081</v>
      </c>
      <c r="O14" s="71">
        <v>5.7853913709139428</v>
      </c>
      <c r="P14" s="8">
        <v>81.667915763811976</v>
      </c>
      <c r="Q14" s="95">
        <v>32.527651585418027</v>
      </c>
      <c r="R14" s="71">
        <v>0</v>
      </c>
      <c r="S14" s="8">
        <v>0</v>
      </c>
      <c r="T14" s="8">
        <v>24130.646318166699</v>
      </c>
      <c r="U14" s="8">
        <v>0</v>
      </c>
      <c r="V14" s="8">
        <v>10848.303999254411</v>
      </c>
      <c r="W14" s="8">
        <v>2743.8365574923769</v>
      </c>
      <c r="X14" s="8">
        <v>0</v>
      </c>
      <c r="Y14" s="95">
        <v>49.309097044491253</v>
      </c>
      <c r="Z14" s="97">
        <v>0</v>
      </c>
      <c r="AA14" s="8"/>
      <c r="AB14" s="98">
        <f t="shared" si="20"/>
        <v>0</v>
      </c>
      <c r="AC14" s="71">
        <f t="shared" si="3"/>
        <v>41686.973344595557</v>
      </c>
      <c r="AD14" s="8">
        <v>30532.45978858048</v>
      </c>
      <c r="AE14" s="95">
        <f t="shared" si="21"/>
        <v>11154.513556015077</v>
      </c>
      <c r="AF14" s="99" t="s">
        <v>93</v>
      </c>
      <c r="AG14" s="100"/>
      <c r="AH14" s="101"/>
      <c r="AI14" s="101"/>
      <c r="AJ14" s="101"/>
      <c r="AK14" s="101"/>
      <c r="AL14" s="101"/>
      <c r="AM14" s="98"/>
      <c r="AN14" s="101"/>
      <c r="AO14" s="100"/>
      <c r="AP14" s="101"/>
      <c r="AQ14" s="98"/>
      <c r="AR14" s="100"/>
      <c r="AS14" s="101"/>
      <c r="AT14" s="101"/>
      <c r="AU14" s="101"/>
      <c r="AV14" s="101"/>
      <c r="AW14" s="101"/>
      <c r="AX14" s="101"/>
      <c r="AY14" s="98"/>
      <c r="AZ14" s="100"/>
      <c r="BA14" s="98"/>
      <c r="BB14" s="102"/>
      <c r="BC14" s="10">
        <f t="shared" si="23"/>
        <v>0</v>
      </c>
      <c r="BD14" s="71">
        <f t="shared" si="4"/>
        <v>37110</v>
      </c>
      <c r="BE14" s="8" t="str">
        <f t="shared" si="4"/>
        <v>Oostvaardersplassen</v>
      </c>
      <c r="BF14" s="7">
        <f t="shared" si="24"/>
        <v>2.984164803754635E-3</v>
      </c>
      <c r="BG14" s="7">
        <f t="shared" si="5"/>
        <v>7.9851411849104429E-4</v>
      </c>
      <c r="BH14" s="7">
        <f t="shared" si="5"/>
        <v>1.0722988954682689E-3</v>
      </c>
      <c r="BI14" s="7">
        <f t="shared" si="5"/>
        <v>1.1292901437574165E-5</v>
      </c>
      <c r="BJ14" s="7">
        <f t="shared" si="5"/>
        <v>1.6302837168473115E-3</v>
      </c>
      <c r="BK14" s="7">
        <f t="shared" si="5"/>
        <v>2.0878506716627151E-3</v>
      </c>
      <c r="BL14" s="7">
        <f t="shared" si="5"/>
        <v>7.3295420478224779E-2</v>
      </c>
      <c r="BM14" s="7">
        <f t="shared" si="5"/>
        <v>9.1533224085199611E-3</v>
      </c>
      <c r="BN14" s="7">
        <f t="shared" si="5"/>
        <v>1.3878175618772719E-4</v>
      </c>
      <c r="BO14" s="7">
        <f t="shared" si="5"/>
        <v>1.9590752029110719E-3</v>
      </c>
      <c r="BP14" s="7">
        <f t="shared" si="5"/>
        <v>7.8028335894131363E-4</v>
      </c>
      <c r="BQ14" s="7">
        <f t="shared" si="5"/>
        <v>0</v>
      </c>
      <c r="BR14" s="7">
        <f t="shared" si="5"/>
        <v>0</v>
      </c>
      <c r="BS14" s="7">
        <f t="shared" si="5"/>
        <v>0.57885340148579245</v>
      </c>
      <c r="BT14" s="7">
        <f t="shared" si="5"/>
        <v>0</v>
      </c>
      <c r="BU14" s="7">
        <f t="shared" si="5"/>
        <v>0.26023246901566727</v>
      </c>
      <c r="BV14" s="7">
        <f t="shared" si="5"/>
        <v>6.5819999327154252E-2</v>
      </c>
      <c r="BW14" s="7">
        <f t="shared" si="6"/>
        <v>0</v>
      </c>
      <c r="BX14" s="7">
        <f t="shared" si="6"/>
        <v>1.1828418589397028E-3</v>
      </c>
      <c r="BY14" s="7">
        <f t="shared" si="6"/>
        <v>0</v>
      </c>
      <c r="BZ14" s="72">
        <f t="shared" si="25"/>
        <v>1</v>
      </c>
      <c r="CA14" s="73">
        <f>SUMPRODUCT(BF14:BY14,$BF$19:$BY$19)</f>
        <v>0.85683545501262759</v>
      </c>
      <c r="CB14" s="74">
        <f t="shared" si="27"/>
        <v>0</v>
      </c>
      <c r="CC14" s="75">
        <f t="shared" si="28"/>
        <v>3255.6336712561579</v>
      </c>
      <c r="CD14" s="76">
        <f t="shared" si="29"/>
        <v>381.57430725846081</v>
      </c>
      <c r="CE14" s="76">
        <f t="shared" si="30"/>
        <v>26874.482875659076</v>
      </c>
      <c r="CF14" s="76">
        <f t="shared" si="31"/>
        <v>5207.1859196421174</v>
      </c>
      <c r="CG14" s="77">
        <f t="shared" si="32"/>
        <v>0</v>
      </c>
      <c r="CH14" s="78">
        <f t="shared" si="33"/>
        <v>157.6884354028191</v>
      </c>
      <c r="CI14" s="79">
        <f t="shared" si="34"/>
        <v>5.7853913709139428</v>
      </c>
      <c r="CJ14" s="79">
        <f t="shared" si="35"/>
        <v>0</v>
      </c>
      <c r="CK14" s="79">
        <f t="shared" si="36"/>
        <v>5641.1180796122935</v>
      </c>
      <c r="CL14" s="79">
        <f t="shared" si="37"/>
        <v>0</v>
      </c>
      <c r="CM14" s="80">
        <f t="shared" si="38"/>
        <v>163.50466439372127</v>
      </c>
      <c r="CN14" s="8">
        <f t="shared" si="39"/>
        <v>41686.973344595564</v>
      </c>
      <c r="CO14" s="81">
        <f t="shared" si="7"/>
        <v>0</v>
      </c>
      <c r="CP14" s="103" t="str">
        <f t="shared" si="8"/>
        <v>Oostvaardersplassen</v>
      </c>
      <c r="CQ14" s="83">
        <f t="shared" si="9"/>
        <v>0.85683545501262759</v>
      </c>
      <c r="CR14" s="84">
        <f>SUMPRODUCT(CC14:CG14,$CC$1:$CG$1)/SUMPRODUCT(CC14:CM14,$CC$1:$CM$1)</f>
        <v>0.90891878028754047</v>
      </c>
      <c r="CS14" s="85">
        <f>SUMPRODUCT(CC14:CG14,$CC$2:$CG$2)/SUMPRODUCT(CC14:CM14,$CC$2:$CM$2)</f>
        <v>0.78254506949290281</v>
      </c>
      <c r="CT14" s="8">
        <f>CC14*(CC$1-1)</f>
        <v>813.90841781403947</v>
      </c>
      <c r="CU14" s="8">
        <f>CD14*(CD$1-1)</f>
        <v>114.47229217753826</v>
      </c>
      <c r="CV14" s="8">
        <f t="shared" si="46"/>
        <v>6718.620718914769</v>
      </c>
      <c r="CW14" s="8">
        <f t="shared" si="46"/>
        <v>1301.7964799105293</v>
      </c>
      <c r="CX14" s="8">
        <f t="shared" si="46"/>
        <v>0</v>
      </c>
      <c r="CY14" s="8">
        <f t="shared" si="40"/>
        <v>39.422108850704774</v>
      </c>
      <c r="CZ14" s="8">
        <f t="shared" si="13"/>
        <v>1.4463478427284857</v>
      </c>
      <c r="DA14" s="8">
        <f t="shared" si="14"/>
        <v>0</v>
      </c>
      <c r="DB14" s="8">
        <f t="shared" si="15"/>
        <v>1410.2795199030734</v>
      </c>
      <c r="DC14" s="8">
        <f t="shared" si="16"/>
        <v>0</v>
      </c>
      <c r="DD14" s="8">
        <f t="shared" si="17"/>
        <v>40.876166098430318</v>
      </c>
      <c r="DE14" s="86">
        <f t="shared" si="41"/>
        <v>6892.7562888878638</v>
      </c>
      <c r="DF14" s="86">
        <f t="shared" si="42"/>
        <v>7035.7803147770646</v>
      </c>
      <c r="DG14" s="87">
        <f t="shared" si="18"/>
        <v>0.21966399156208891</v>
      </c>
      <c r="DH14" s="88">
        <f t="shared" si="43"/>
        <v>0.85683545501262759</v>
      </c>
      <c r="DI14" s="7">
        <f t="shared" si="44"/>
        <v>1.0764994465747164</v>
      </c>
      <c r="DJ14" s="89">
        <f t="shared" si="45"/>
        <v>0.63717146345053866</v>
      </c>
      <c r="DK14" s="90"/>
    </row>
    <row r="15" spans="1:115" x14ac:dyDescent="0.3">
      <c r="A15" s="91">
        <v>37111</v>
      </c>
      <c r="B15" s="92" t="s">
        <v>94</v>
      </c>
      <c r="C15" s="88">
        <f>(SUMPRODUCT(G15:AA15,$G$20:$AA$20)+SUMPRODUCT(AG15:BA15,$AG$20:$BA$20))/AC15</f>
        <v>0.67481473696785055</v>
      </c>
      <c r="D15" s="93">
        <f t="shared" si="19"/>
        <v>1.743115196718575</v>
      </c>
      <c r="E15" s="93">
        <v>3</v>
      </c>
      <c r="F15" s="94">
        <v>2.5831018518518518</v>
      </c>
      <c r="G15" s="8">
        <v>12668.38148335336</v>
      </c>
      <c r="H15" s="8">
        <v>1961.6659462415871</v>
      </c>
      <c r="I15" s="8">
        <v>2497.3322949379158</v>
      </c>
      <c r="J15" s="8">
        <v>19.90559258658126</v>
      </c>
      <c r="K15" s="8">
        <v>6607.2108604922578</v>
      </c>
      <c r="L15" s="8">
        <v>3148.2683476673269</v>
      </c>
      <c r="M15" s="95">
        <v>499.37048687084751</v>
      </c>
      <c r="N15" s="96">
        <v>31850.42591496752</v>
      </c>
      <c r="O15" s="71">
        <v>382.90882872130908</v>
      </c>
      <c r="P15" s="8">
        <v>912.78463282484552</v>
      </c>
      <c r="Q15" s="95">
        <v>1788.3249273009919</v>
      </c>
      <c r="R15" s="71">
        <v>0</v>
      </c>
      <c r="S15" s="8">
        <v>0</v>
      </c>
      <c r="T15" s="8">
        <v>3083.022013336657</v>
      </c>
      <c r="U15" s="8">
        <v>38.548501684540959</v>
      </c>
      <c r="V15" s="8">
        <v>193.83484007511811</v>
      </c>
      <c r="W15" s="8">
        <v>2.8877051869420369</v>
      </c>
      <c r="X15" s="8">
        <v>13.95910725348979</v>
      </c>
      <c r="Y15" s="95">
        <v>133.97696452297049</v>
      </c>
      <c r="Z15" s="97">
        <v>52150.348672240267</v>
      </c>
      <c r="AA15" s="8"/>
      <c r="AB15" s="98">
        <f t="shared" si="20"/>
        <v>1320.8478514502942</v>
      </c>
      <c r="AC15" s="71">
        <f t="shared" si="3"/>
        <v>119274.00497171481</v>
      </c>
      <c r="AD15" s="8">
        <v>19527.039089819631</v>
      </c>
      <c r="AE15" s="95">
        <f t="shared" si="21"/>
        <v>99746.965881895172</v>
      </c>
      <c r="AF15" s="99" t="s">
        <v>95</v>
      </c>
      <c r="AG15" s="100">
        <v>247.05290062158011</v>
      </c>
      <c r="AH15" s="101">
        <v>36.292691405696388</v>
      </c>
      <c r="AI15" s="101">
        <v>29.723931089044019</v>
      </c>
      <c r="AJ15" s="101">
        <v>0.38869772684895121</v>
      </c>
      <c r="AK15" s="101">
        <v>166.66745232354151</v>
      </c>
      <c r="AL15" s="101">
        <v>77.221112894335732</v>
      </c>
      <c r="AM15" s="98">
        <v>11.13096285458732</v>
      </c>
      <c r="AN15" s="101">
        <v>372.86628986340941</v>
      </c>
      <c r="AO15" s="100">
        <v>4.230162889085352</v>
      </c>
      <c r="AP15" s="101">
        <v>9.1901160716234767</v>
      </c>
      <c r="AQ15" s="98">
        <v>23.129197295062632</v>
      </c>
      <c r="AR15" s="100">
        <v>1.1920409199272</v>
      </c>
      <c r="AS15" s="101">
        <v>0.1402170555913678</v>
      </c>
      <c r="AT15" s="101">
        <v>29.371161095750342</v>
      </c>
      <c r="AU15" s="101">
        <v>1.6315426726031821</v>
      </c>
      <c r="AV15" s="101">
        <v>7.1812596097879329</v>
      </c>
      <c r="AW15" s="101">
        <v>0.31173578773698241</v>
      </c>
      <c r="AX15" s="101">
        <v>8.0883523246539538E-2</v>
      </c>
      <c r="AY15" s="98">
        <v>2.1417014996853911</v>
      </c>
      <c r="AZ15" s="100">
        <v>300.90379425115032</v>
      </c>
      <c r="BA15" s="98"/>
      <c r="BB15" s="102">
        <f t="shared" si="22"/>
        <v>1320.8478514502942</v>
      </c>
      <c r="BC15" s="10">
        <f t="shared" si="23"/>
        <v>0</v>
      </c>
      <c r="BD15" s="71">
        <f t="shared" si="4"/>
        <v>37111</v>
      </c>
      <c r="BE15" s="8" t="str">
        <f t="shared" si="4"/>
        <v>Tochten hoge afdeling NOP</v>
      </c>
      <c r="BF15" s="7">
        <f t="shared" si="24"/>
        <v>0.1082837319585082</v>
      </c>
      <c r="BG15" s="7">
        <f t="shared" si="5"/>
        <v>1.6750998158576873E-2</v>
      </c>
      <c r="BH15" s="7">
        <f t="shared" si="5"/>
        <v>2.1186982248363653E-2</v>
      </c>
      <c r="BI15" s="7">
        <f t="shared" si="5"/>
        <v>1.7014847718279345E-4</v>
      </c>
      <c r="BJ15" s="7">
        <f t="shared" si="5"/>
        <v>5.679257868822455E-2</v>
      </c>
      <c r="BK15" s="7">
        <f t="shared" si="5"/>
        <v>2.7042685967714176E-2</v>
      </c>
      <c r="BL15" s="7">
        <f t="shared" si="5"/>
        <v>4.2800730121076887E-3</v>
      </c>
      <c r="BM15" s="7">
        <f t="shared" si="5"/>
        <v>0.27016190336253498</v>
      </c>
      <c r="BN15" s="7">
        <f t="shared" si="5"/>
        <v>3.2457951898420983E-3</v>
      </c>
      <c r="BO15" s="7">
        <f t="shared" si="5"/>
        <v>7.7298884121071512E-3</v>
      </c>
      <c r="BP15" s="7">
        <f t="shared" si="5"/>
        <v>1.5187333778434212E-2</v>
      </c>
      <c r="BQ15" s="7">
        <f t="shared" si="5"/>
        <v>9.9941384563206878E-6</v>
      </c>
      <c r="BR15" s="7">
        <f t="shared" si="5"/>
        <v>1.1755877202632671E-6</v>
      </c>
      <c r="BS15" s="7">
        <f t="shared" si="5"/>
        <v>2.6094480311703246E-2</v>
      </c>
      <c r="BT15" s="7">
        <f t="shared" si="5"/>
        <v>3.3687176318656042E-4</v>
      </c>
      <c r="BU15" s="7">
        <f t="shared" si="5"/>
        <v>1.6853303427899142E-3</v>
      </c>
      <c r="BV15" s="7">
        <f t="shared" si="5"/>
        <v>2.6824293989606113E-5</v>
      </c>
      <c r="BW15" s="7">
        <f t="shared" si="6"/>
        <v>1.1771207632430754E-4</v>
      </c>
      <c r="BX15" s="7">
        <f t="shared" si="6"/>
        <v>1.1412265904455518E-3</v>
      </c>
      <c r="BY15" s="7">
        <f t="shared" si="6"/>
        <v>0.43975426564178799</v>
      </c>
      <c r="BZ15" s="72">
        <f t="shared" si="25"/>
        <v>1.0000000000000002</v>
      </c>
      <c r="CA15" s="73">
        <f>SUMPRODUCT(BF15:BY15,$BF$20:$BY$20)</f>
        <v>0.67481473696785055</v>
      </c>
      <c r="CB15" s="74">
        <f t="shared" si="27"/>
        <v>0</v>
      </c>
      <c r="CC15" s="75">
        <f t="shared" si="28"/>
        <v>13057.219739443288</v>
      </c>
      <c r="CD15" s="76">
        <f t="shared" si="29"/>
        <v>32223.29220483093</v>
      </c>
      <c r="CE15" s="76">
        <f t="shared" si="30"/>
        <v>3115.5926154070862</v>
      </c>
      <c r="CF15" s="76">
        <f t="shared" si="31"/>
        <v>96.487727848754901</v>
      </c>
      <c r="CG15" s="77">
        <f t="shared" si="32"/>
        <v>31995.264004559762</v>
      </c>
      <c r="CH15" s="78">
        <f t="shared" si="33"/>
        <v>14913.393021622223</v>
      </c>
      <c r="CI15" s="79">
        <f t="shared" si="34"/>
        <v>387.13899161039444</v>
      </c>
      <c r="CJ15" s="79">
        <f t="shared" si="35"/>
        <v>1.1920409199272</v>
      </c>
      <c r="CK15" s="79">
        <f t="shared" si="36"/>
        <v>104.52837183615114</v>
      </c>
      <c r="CL15" s="79">
        <f t="shared" si="37"/>
        <v>20455.988461931654</v>
      </c>
      <c r="CM15" s="80">
        <f t="shared" si="38"/>
        <v>2923.9077917046511</v>
      </c>
      <c r="CN15" s="8">
        <f t="shared" si="39"/>
        <v>119274.00497171481</v>
      </c>
      <c r="CO15" s="81">
        <f t="shared" si="7"/>
        <v>0</v>
      </c>
      <c r="CP15" s="103" t="str">
        <f t="shared" si="8"/>
        <v>Tochten hoge afdeling NOP</v>
      </c>
      <c r="CQ15" s="83">
        <f t="shared" si="9"/>
        <v>0.67481473696785055</v>
      </c>
      <c r="CR15" s="84">
        <f>SUMPRODUCT(CC15:CG15,$CC$19:$CG$19)/SUMPRODUCT(CC15:CM15,$CC$19:$CM$19)</f>
        <v>0.77289294071227899</v>
      </c>
      <c r="CS15" s="85">
        <f>SUMPRODUCT(CC15:CG15,$CC$2:$CG$2)/SUMPRODUCT(CC15:CM15,$CC$2:$CM$2)</f>
        <v>0.57352480923543325</v>
      </c>
      <c r="CT15" s="8">
        <f>CC15*(CC$1-1)</f>
        <v>3264.304934860822</v>
      </c>
      <c r="CU15" s="104">
        <f>CD15*(CD$19-1)</f>
        <v>6444.6584409661846</v>
      </c>
      <c r="CV15" s="8">
        <f t="shared" si="46"/>
        <v>778.89815385177155</v>
      </c>
      <c r="CW15" s="8">
        <f t="shared" si="46"/>
        <v>24.121931962188725</v>
      </c>
      <c r="CX15" s="8">
        <f t="shared" si="46"/>
        <v>7998.8160011399405</v>
      </c>
      <c r="CY15" s="8">
        <f t="shared" si="40"/>
        <v>3728.3482554055558</v>
      </c>
      <c r="CZ15" s="8">
        <f t="shared" si="13"/>
        <v>96.78474790259861</v>
      </c>
      <c r="DA15" s="8">
        <f t="shared" si="14"/>
        <v>0.11920409199271997</v>
      </c>
      <c r="DB15" s="8">
        <f t="shared" si="15"/>
        <v>26.132092959037784</v>
      </c>
      <c r="DC15" s="8">
        <f t="shared" si="16"/>
        <v>5113.9971154829136</v>
      </c>
      <c r="DD15" s="8">
        <f t="shared" si="17"/>
        <v>730.97694792616278</v>
      </c>
      <c r="DE15" s="86">
        <f t="shared" si="41"/>
        <v>10806.369915482304</v>
      </c>
      <c r="DF15" s="86">
        <f t="shared" si="42"/>
        <v>12544.941428612263</v>
      </c>
      <c r="DG15" s="87">
        <f t="shared" si="18"/>
        <v>0.11509160369564456</v>
      </c>
      <c r="DH15" s="88">
        <f t="shared" si="43"/>
        <v>0.67481473696785055</v>
      </c>
      <c r="DI15" s="7">
        <f t="shared" si="44"/>
        <v>0.78990634066349508</v>
      </c>
      <c r="DJ15" s="89">
        <f t="shared" si="45"/>
        <v>0.55972313327220602</v>
      </c>
      <c r="DK15" s="90"/>
    </row>
    <row r="16" spans="1:115" x14ac:dyDescent="0.3">
      <c r="A16" s="91">
        <v>37112</v>
      </c>
      <c r="B16" s="92" t="s">
        <v>96</v>
      </c>
      <c r="C16" s="88">
        <f>(SUMPRODUCT(G16:AA16,$G$20:$AA$20)+SUMPRODUCT(AG16:BA16,$AG$20:$BA$20))/AC16</f>
        <v>0.68481542161933584</v>
      </c>
      <c r="D16" s="93">
        <f t="shared" si="19"/>
        <v>1.768410270597125</v>
      </c>
      <c r="E16" s="93">
        <v>3.8</v>
      </c>
      <c r="F16" s="94">
        <v>2.5823166575534864</v>
      </c>
      <c r="G16" s="8">
        <v>1646.527122565022</v>
      </c>
      <c r="H16" s="8">
        <v>531.91183327110639</v>
      </c>
      <c r="I16" s="8">
        <v>403.08904865986273</v>
      </c>
      <c r="J16" s="8">
        <v>1.6652859166104941</v>
      </c>
      <c r="K16" s="8">
        <v>1331.88035622905</v>
      </c>
      <c r="L16" s="8">
        <v>1205.154332047324</v>
      </c>
      <c r="M16" s="95">
        <v>567.50294812423817</v>
      </c>
      <c r="N16" s="96">
        <v>81510.964695958683</v>
      </c>
      <c r="O16" s="71">
        <v>26.27476332709011</v>
      </c>
      <c r="P16" s="8">
        <v>23.018190713120671</v>
      </c>
      <c r="Q16" s="95">
        <v>405.45110911193137</v>
      </c>
      <c r="R16" s="71">
        <v>23019.498345</v>
      </c>
      <c r="S16" s="8">
        <v>0</v>
      </c>
      <c r="T16" s="8">
        <v>1621.53092499381</v>
      </c>
      <c r="U16" s="8">
        <v>160.33583552680051</v>
      </c>
      <c r="V16" s="8">
        <v>647.56526902007533</v>
      </c>
      <c r="W16" s="8">
        <v>0</v>
      </c>
      <c r="X16" s="8">
        <v>504.13909941788421</v>
      </c>
      <c r="Y16" s="95">
        <v>48.869172388555953</v>
      </c>
      <c r="Z16" s="97">
        <v>10847.62221691806</v>
      </c>
      <c r="AA16" s="8"/>
      <c r="AB16" s="98">
        <f t="shared" si="20"/>
        <v>413448.50852701871</v>
      </c>
      <c r="AC16" s="71">
        <f t="shared" si="3"/>
        <v>537951.50907620788</v>
      </c>
      <c r="AD16" s="8">
        <v>24833.567753253199</v>
      </c>
      <c r="AE16" s="95">
        <f t="shared" si="21"/>
        <v>513117.94132295466</v>
      </c>
      <c r="AF16" s="99" t="s">
        <v>97</v>
      </c>
      <c r="AG16" s="100">
        <v>70599.56709407983</v>
      </c>
      <c r="AH16" s="101">
        <v>10448.49417726604</v>
      </c>
      <c r="AI16" s="101">
        <v>9210.7822887878192</v>
      </c>
      <c r="AJ16" s="101">
        <v>111.0606880084719</v>
      </c>
      <c r="AK16" s="101">
        <v>46210.937261353232</v>
      </c>
      <c r="AL16" s="101">
        <v>21477.534576097762</v>
      </c>
      <c r="AM16" s="98">
        <v>3129.2604512588318</v>
      </c>
      <c r="AN16" s="101">
        <v>115584.74011692499</v>
      </c>
      <c r="AO16" s="100">
        <v>1327.6222382818689</v>
      </c>
      <c r="AP16" s="101">
        <v>2942.417032449996</v>
      </c>
      <c r="AQ16" s="98">
        <v>7034.1411300846294</v>
      </c>
      <c r="AR16" s="100">
        <v>295.8693244896109</v>
      </c>
      <c r="AS16" s="101">
        <v>34.80243406599984</v>
      </c>
      <c r="AT16" s="101">
        <v>9520.8983448393992</v>
      </c>
      <c r="AU16" s="101">
        <v>432.84131555148952</v>
      </c>
      <c r="AV16" s="101">
        <v>1922.565863486479</v>
      </c>
      <c r="AW16" s="101">
        <v>79.463491066997534</v>
      </c>
      <c r="AX16" s="101">
        <v>30.169826848853901</v>
      </c>
      <c r="AY16" s="98">
        <v>628.59957274676947</v>
      </c>
      <c r="AZ16" s="100">
        <v>112426.7412993296</v>
      </c>
      <c r="BA16" s="98"/>
      <c r="BB16" s="102">
        <f t="shared" si="22"/>
        <v>413448.50852701871</v>
      </c>
      <c r="BC16" s="10">
        <f t="shared" si="23"/>
        <v>0</v>
      </c>
      <c r="BD16" s="71">
        <f t="shared" si="4"/>
        <v>37112</v>
      </c>
      <c r="BE16" s="8" t="str">
        <f t="shared" si="4"/>
        <v>Vaarten NOP</v>
      </c>
      <c r="BF16" s="7">
        <f t="shared" si="24"/>
        <v>0.13429852504867729</v>
      </c>
      <c r="BG16" s="7">
        <f t="shared" si="5"/>
        <v>2.0411516326802659E-2</v>
      </c>
      <c r="BH16" s="7">
        <f t="shared" si="5"/>
        <v>1.7871260095462898E-2</v>
      </c>
      <c r="BI16" s="7">
        <f t="shared" si="5"/>
        <v>2.0954671940350166E-4</v>
      </c>
      <c r="BJ16" s="7">
        <f t="shared" si="5"/>
        <v>8.8377515102104148E-2</v>
      </c>
      <c r="BK16" s="7">
        <f t="shared" si="5"/>
        <v>4.2164932201968756E-2</v>
      </c>
      <c r="BL16" s="7">
        <f t="shared" si="5"/>
        <v>6.8719268131272682E-3</v>
      </c>
      <c r="BM16" s="7">
        <f t="shared" si="5"/>
        <v>0.36638191637633738</v>
      </c>
      <c r="BN16" s="7">
        <f t="shared" si="5"/>
        <v>2.5167640182549647E-3</v>
      </c>
      <c r="BO16" s="7">
        <f t="shared" si="5"/>
        <v>5.5124582292844235E-3</v>
      </c>
      <c r="BP16" s="7">
        <f t="shared" si="5"/>
        <v>1.382948483957621E-2</v>
      </c>
      <c r="BQ16" s="7">
        <f t="shared" si="5"/>
        <v>4.334102103278361E-2</v>
      </c>
      <c r="BR16" s="7">
        <f t="shared" si="5"/>
        <v>6.4694370178018448E-5</v>
      </c>
      <c r="BS16" s="7">
        <f t="shared" si="5"/>
        <v>2.0712701947741427E-2</v>
      </c>
      <c r="BT16" s="7">
        <f t="shared" si="5"/>
        <v>1.1026591450536459E-3</v>
      </c>
      <c r="BU16" s="7">
        <f t="shared" si="5"/>
        <v>4.7776260297514323E-3</v>
      </c>
      <c r="BV16" s="7">
        <f t="shared" si="5"/>
        <v>1.4771497007872597E-4</v>
      </c>
      <c r="BW16" s="7">
        <f t="shared" si="6"/>
        <v>9.9322878968083035E-4</v>
      </c>
      <c r="BX16" s="7">
        <f t="shared" si="6"/>
        <v>1.2593490931900205E-3</v>
      </c>
      <c r="BY16" s="7">
        <f t="shared" si="6"/>
        <v>0.22915515885054286</v>
      </c>
      <c r="BZ16" s="72">
        <f t="shared" si="25"/>
        <v>1.0000000000000002</v>
      </c>
      <c r="CA16" s="73">
        <f>SUMPRODUCT(BF16:BY16,$BF$20:$BY$20)</f>
        <v>0.68481542161933584</v>
      </c>
      <c r="CB16" s="74">
        <f t="shared" si="27"/>
        <v>0</v>
      </c>
      <c r="CC16" s="75">
        <f t="shared" si="28"/>
        <v>83648.867236483202</v>
      </c>
      <c r="CD16" s="76">
        <f t="shared" si="29"/>
        <v>197095.70481288369</v>
      </c>
      <c r="CE16" s="76">
        <f t="shared" si="30"/>
        <v>11221.892760900208</v>
      </c>
      <c r="CF16" s="76">
        <f t="shared" si="31"/>
        <v>1233.662943603146</v>
      </c>
      <c r="CG16" s="77">
        <f t="shared" si="32"/>
        <v>75197.361744911075</v>
      </c>
      <c r="CH16" s="78">
        <f t="shared" si="33"/>
        <v>83226.500227181998</v>
      </c>
      <c r="CI16" s="79">
        <f t="shared" si="34"/>
        <v>1353.897001608959</v>
      </c>
      <c r="CJ16" s="79">
        <f t="shared" si="35"/>
        <v>23315.367669489609</v>
      </c>
      <c r="CK16" s="79">
        <f t="shared" si="36"/>
        <v>1336.4681889034084</v>
      </c>
      <c r="CL16" s="79">
        <f t="shared" si="37"/>
        <v>48077.001771336589</v>
      </c>
      <c r="CM16" s="80">
        <f t="shared" si="38"/>
        <v>12244.78471890603</v>
      </c>
      <c r="CN16" s="8">
        <f t="shared" si="39"/>
        <v>537951.50907620788</v>
      </c>
      <c r="CO16" s="81">
        <f t="shared" si="7"/>
        <v>0</v>
      </c>
      <c r="CP16" s="103" t="str">
        <f t="shared" si="8"/>
        <v>Vaarten NOP</v>
      </c>
      <c r="CQ16" s="83">
        <f t="shared" si="9"/>
        <v>0.68481542161933584</v>
      </c>
      <c r="CR16" s="84">
        <f>SUMPRODUCT(CC16:CG16,$CC$19:$CG$19)/SUMPRODUCT(CC16:CM16,$CC$19:$CM$19)</f>
        <v>0.77522497982078753</v>
      </c>
      <c r="CS16" s="85">
        <f>SUMPRODUCT(CC16:CG16,$CC$2:$CG$2)/SUMPRODUCT(CC16:CM16,$CC$2:$CM$2)</f>
        <v>0.59470717141535079</v>
      </c>
      <c r="CT16" s="8">
        <f>CC16*(CC$1-1)</f>
        <v>20912.2168091208</v>
      </c>
      <c r="CU16" s="104">
        <f>CD16*(CD$19-1)</f>
        <v>39419.140962576726</v>
      </c>
      <c r="CV16" s="8">
        <f t="shared" si="46"/>
        <v>2805.4731902250519</v>
      </c>
      <c r="CW16" s="8">
        <f t="shared" si="46"/>
        <v>308.4157359007865</v>
      </c>
      <c r="CX16" s="8">
        <f t="shared" si="46"/>
        <v>18799.340436227769</v>
      </c>
      <c r="CY16" s="8">
        <f t="shared" si="40"/>
        <v>20806.625056795499</v>
      </c>
      <c r="CZ16" s="8">
        <f t="shared" si="13"/>
        <v>338.47425040223976</v>
      </c>
      <c r="DA16" s="8">
        <f t="shared" si="14"/>
        <v>2331.5367669489606</v>
      </c>
      <c r="DB16" s="8">
        <f t="shared" si="15"/>
        <v>334.1170472258521</v>
      </c>
      <c r="DC16" s="8">
        <f t="shared" si="16"/>
        <v>12019.250442834147</v>
      </c>
      <c r="DD16" s="8">
        <f t="shared" si="17"/>
        <v>3061.1961797265076</v>
      </c>
      <c r="DE16" s="86">
        <f t="shared" si="41"/>
        <v>48503.303877401799</v>
      </c>
      <c r="DF16" s="86">
        <f t="shared" si="42"/>
        <v>54267.685589594279</v>
      </c>
      <c r="DG16" s="87">
        <f t="shared" si="18"/>
        <v>0.11358623457043987</v>
      </c>
      <c r="DH16" s="88">
        <f t="shared" si="43"/>
        <v>0.68481542161933584</v>
      </c>
      <c r="DI16" s="7">
        <f t="shared" si="44"/>
        <v>0.79840165618977577</v>
      </c>
      <c r="DJ16" s="89">
        <f t="shared" si="45"/>
        <v>0.57122918704889591</v>
      </c>
      <c r="DK16" s="90"/>
    </row>
    <row r="17" spans="1:115" x14ac:dyDescent="0.3">
      <c r="A17" s="91">
        <v>37113</v>
      </c>
      <c r="B17" s="92" t="s">
        <v>98</v>
      </c>
      <c r="C17" s="88">
        <f t="shared" si="2"/>
        <v>0.88262448068866894</v>
      </c>
      <c r="D17" s="93">
        <f t="shared" si="19"/>
        <v>1.7594917022197036</v>
      </c>
      <c r="E17" s="93">
        <v>2.5</v>
      </c>
      <c r="F17" s="94">
        <v>1.9934771136722356</v>
      </c>
      <c r="G17" s="8">
        <v>3036.5007200020509</v>
      </c>
      <c r="H17" s="8">
        <v>993.02585144597742</v>
      </c>
      <c r="I17" s="8">
        <v>2061.9255777486519</v>
      </c>
      <c r="J17" s="8">
        <v>2.686467490463841</v>
      </c>
      <c r="K17" s="8">
        <v>3310.345466981476</v>
      </c>
      <c r="L17" s="8">
        <v>3079.1650547151971</v>
      </c>
      <c r="M17" s="95">
        <v>815.22733068548985</v>
      </c>
      <c r="N17" s="96">
        <v>107029.54997215389</v>
      </c>
      <c r="O17" s="71">
        <v>208.6415076950037</v>
      </c>
      <c r="P17" s="8">
        <v>1.477263857757352</v>
      </c>
      <c r="Q17" s="95">
        <v>1108.6783462823721</v>
      </c>
      <c r="R17" s="71">
        <v>4235.4338941666674</v>
      </c>
      <c r="S17" s="8">
        <v>0</v>
      </c>
      <c r="T17" s="8">
        <v>2187.5503442107752</v>
      </c>
      <c r="U17" s="8">
        <v>68.17613109374642</v>
      </c>
      <c r="V17" s="8">
        <v>773.61252280132567</v>
      </c>
      <c r="W17" s="8">
        <v>0</v>
      </c>
      <c r="X17" s="8">
        <v>335.80870618739232</v>
      </c>
      <c r="Y17" s="95">
        <v>95.325766633093096</v>
      </c>
      <c r="Z17" s="97">
        <v>30602.3336923768</v>
      </c>
      <c r="AA17" s="8"/>
      <c r="AB17" s="98">
        <f t="shared" si="20"/>
        <v>192689.32512920705</v>
      </c>
      <c r="AC17" s="71">
        <f t="shared" si="3"/>
        <v>352634.78974573518</v>
      </c>
      <c r="AD17" s="8">
        <v>38606.939685562902</v>
      </c>
      <c r="AE17" s="95">
        <f t="shared" si="21"/>
        <v>314027.85006017226</v>
      </c>
      <c r="AF17" s="99" t="s">
        <v>99</v>
      </c>
      <c r="AG17" s="100">
        <v>9178.8185932029082</v>
      </c>
      <c r="AH17" s="101">
        <v>2625.6096063938389</v>
      </c>
      <c r="AI17" s="101">
        <v>2739.8683560927971</v>
      </c>
      <c r="AJ17" s="101">
        <v>13.136881875755851</v>
      </c>
      <c r="AK17" s="101">
        <v>10274.58301480067</v>
      </c>
      <c r="AL17" s="101">
        <v>6389.646346669686</v>
      </c>
      <c r="AM17" s="98">
        <v>3752.261757395861</v>
      </c>
      <c r="AN17" s="101">
        <v>135026.75194388529</v>
      </c>
      <c r="AO17" s="100">
        <v>696.18488493486564</v>
      </c>
      <c r="AP17" s="101">
        <v>6.9781783350863504</v>
      </c>
      <c r="AQ17" s="98">
        <v>2180.5303136784569</v>
      </c>
      <c r="AR17" s="100">
        <v>0</v>
      </c>
      <c r="AS17" s="101">
        <v>0</v>
      </c>
      <c r="AT17" s="101">
        <v>11646.11502254454</v>
      </c>
      <c r="AU17" s="101">
        <v>42.390783744446857</v>
      </c>
      <c r="AV17" s="101">
        <v>7687.7048846807947</v>
      </c>
      <c r="AW17" s="101">
        <v>139.6249075110502</v>
      </c>
      <c r="AX17" s="101">
        <v>17.842228742477928</v>
      </c>
      <c r="AY17" s="98">
        <v>194.54985195679029</v>
      </c>
      <c r="AZ17" s="100">
        <v>76.72757276166665</v>
      </c>
      <c r="BA17" s="98"/>
      <c r="BB17" s="102">
        <f t="shared" si="22"/>
        <v>192689.32512920705</v>
      </c>
      <c r="BC17" s="10">
        <f t="shared" si="23"/>
        <v>0</v>
      </c>
      <c r="BD17" s="71">
        <f t="shared" si="4"/>
        <v>37113</v>
      </c>
      <c r="BE17" s="8" t="str">
        <f t="shared" si="4"/>
        <v>Vaarten hoge afdeling ZOF</v>
      </c>
      <c r="BF17" s="7">
        <f t="shared" si="24"/>
        <v>3.4640142346739893E-2</v>
      </c>
      <c r="BG17" s="7">
        <f t="shared" si="5"/>
        <v>1.0261708609207299E-2</v>
      </c>
      <c r="BH17" s="7">
        <f t="shared" si="5"/>
        <v>1.361690358828109E-2</v>
      </c>
      <c r="BI17" s="7">
        <f t="shared" si="5"/>
        <v>4.4871776201176878E-5</v>
      </c>
      <c r="BJ17" s="7">
        <f t="shared" si="5"/>
        <v>3.8524073281531478E-2</v>
      </c>
      <c r="BK17" s="7">
        <f t="shared" si="5"/>
        <v>2.6851608737221595E-2</v>
      </c>
      <c r="BL17" s="7">
        <f t="shared" si="5"/>
        <v>1.2952463060648969E-2</v>
      </c>
      <c r="BM17" s="7">
        <f t="shared" si="5"/>
        <v>0.6864220688224556</v>
      </c>
      <c r="BN17" s="7">
        <f t="shared" si="5"/>
        <v>2.5659022278609776E-3</v>
      </c>
      <c r="BO17" s="7">
        <f t="shared" si="5"/>
        <v>2.3977901326583343E-5</v>
      </c>
      <c r="BP17" s="7">
        <f t="shared" si="5"/>
        <v>9.3275217182413848E-3</v>
      </c>
      <c r="BQ17" s="7">
        <f t="shared" si="5"/>
        <v>1.2010822577150136E-2</v>
      </c>
      <c r="BR17" s="7">
        <f t="shared" si="5"/>
        <v>0</v>
      </c>
      <c r="BS17" s="7">
        <f t="shared" si="5"/>
        <v>3.9229440114884814E-2</v>
      </c>
      <c r="BT17" s="7">
        <f t="shared" si="5"/>
        <v>3.1354511254523911E-4</v>
      </c>
      <c r="BU17" s="7">
        <f t="shared" si="5"/>
        <v>2.3994562231318961E-2</v>
      </c>
      <c r="BV17" s="7">
        <f t="shared" si="5"/>
        <v>3.9594762505346039E-4</v>
      </c>
      <c r="BW17" s="7">
        <f t="shared" si="6"/>
        <v>1.0028815795085555E-3</v>
      </c>
      <c r="BX17" s="7">
        <f t="shared" si="6"/>
        <v>8.2202785153131423E-4</v>
      </c>
      <c r="BY17" s="7">
        <f t="shared" si="6"/>
        <v>8.6999530838291331E-2</v>
      </c>
      <c r="BZ17" s="72">
        <f t="shared" si="25"/>
        <v>0.99999999999999978</v>
      </c>
      <c r="CA17" s="73">
        <f>SUMPRODUCT(BF17:BY17,$BF$19:$BY$19)</f>
        <v>0.88262448068866906</v>
      </c>
      <c r="CB17" s="74">
        <f t="shared" si="27"/>
        <v>0</v>
      </c>
      <c r="CC17" s="75">
        <f t="shared" si="28"/>
        <v>32438.846254456046</v>
      </c>
      <c r="CD17" s="76">
        <f t="shared" si="29"/>
        <v>242056.3019160392</v>
      </c>
      <c r="CE17" s="76">
        <f t="shared" si="30"/>
        <v>13973.290274266365</v>
      </c>
      <c r="CF17" s="76">
        <f t="shared" si="31"/>
        <v>4061.4323555914175</v>
      </c>
      <c r="CG17" s="77">
        <f t="shared" si="32"/>
        <v>18714.227371734465</v>
      </c>
      <c r="CH17" s="78">
        <f t="shared" si="33"/>
        <v>15833.954771044775</v>
      </c>
      <c r="CI17" s="79">
        <f t="shared" si="34"/>
        <v>904.82639262986936</v>
      </c>
      <c r="CJ17" s="79">
        <f t="shared" si="35"/>
        <v>4235.4338941666674</v>
      </c>
      <c r="CK17" s="79">
        <f t="shared" si="36"/>
        <v>4399.8850518907029</v>
      </c>
      <c r="CL17" s="79">
        <f t="shared" si="37"/>
        <v>11964.833893404002</v>
      </c>
      <c r="CM17" s="80">
        <f t="shared" si="38"/>
        <v>4051.7575705116196</v>
      </c>
      <c r="CN17" s="8">
        <f t="shared" si="39"/>
        <v>352634.78974573512</v>
      </c>
      <c r="CO17" s="81">
        <f t="shared" si="7"/>
        <v>0</v>
      </c>
      <c r="CP17" s="82" t="str">
        <f t="shared" si="8"/>
        <v>Vaarten hoge afdeling ZOF</v>
      </c>
      <c r="CQ17" s="83">
        <f t="shared" si="9"/>
        <v>0.88262448068866906</v>
      </c>
      <c r="CR17" s="84">
        <f>SUMPRODUCT(CC17:CG17,$CC$1:$CG$1)/SUMPRODUCT(CC17:CM17,$CC$1:$CM$1)</f>
        <v>0.926812201645971</v>
      </c>
      <c r="CS17" s="85">
        <f>SUMPRODUCT(CC17:CG17,$CC$2:$CG$2)/SUMPRODUCT(CC17:CM17,$CC$2:$CM$2)</f>
        <v>0.84072334571908314</v>
      </c>
      <c r="CT17" s="8">
        <f t="shared" ref="CT17:CX18" si="47">CC17*(CC$1-1)</f>
        <v>8109.7115636140115</v>
      </c>
      <c r="CU17" s="8">
        <f t="shared" si="47"/>
        <v>72616.890574811769</v>
      </c>
      <c r="CV17" s="8">
        <f t="shared" si="47"/>
        <v>3493.3225685665911</v>
      </c>
      <c r="CW17" s="8">
        <f t="shared" si="47"/>
        <v>1015.3580888978544</v>
      </c>
      <c r="CX17" s="8">
        <f t="shared" si="47"/>
        <v>4678.5568429336163</v>
      </c>
      <c r="CY17" s="8">
        <f t="shared" si="40"/>
        <v>3958.4886927611938</v>
      </c>
      <c r="CZ17" s="8">
        <f t="shared" si="13"/>
        <v>226.20659815746734</v>
      </c>
      <c r="DA17" s="8">
        <f t="shared" si="14"/>
        <v>423.54338941666663</v>
      </c>
      <c r="DB17" s="8">
        <f t="shared" si="15"/>
        <v>1099.9712629726757</v>
      </c>
      <c r="DC17" s="8">
        <f t="shared" si="16"/>
        <v>2991.2084733510005</v>
      </c>
      <c r="DD17" s="8">
        <f t="shared" si="17"/>
        <v>1012.9393926279049</v>
      </c>
      <c r="DE17" s="86">
        <f t="shared" si="41"/>
        <v>73308.276252743177</v>
      </c>
      <c r="DF17" s="86">
        <f t="shared" si="42"/>
        <v>73492.767463407901</v>
      </c>
      <c r="DG17" s="87">
        <f t="shared" si="18"/>
        <v>0.27758607409825387</v>
      </c>
      <c r="DH17" s="88">
        <f t="shared" si="43"/>
        <v>0.88262448068866906</v>
      </c>
      <c r="DI17" s="7">
        <f t="shared" si="44"/>
        <v>1.1602105547869228</v>
      </c>
      <c r="DJ17" s="89">
        <f t="shared" si="45"/>
        <v>0.60503840659041519</v>
      </c>
      <c r="DK17" s="90"/>
    </row>
    <row r="18" spans="1:115" x14ac:dyDescent="0.3">
      <c r="A18" s="105">
        <v>37114</v>
      </c>
      <c r="B18" s="106" t="s">
        <v>100</v>
      </c>
      <c r="C18" s="107">
        <f t="shared" si="2"/>
        <v>0.84173117128846564</v>
      </c>
      <c r="D18" s="108">
        <f t="shared" si="19"/>
        <v>2.849004748277018</v>
      </c>
      <c r="E18" s="108">
        <v>3.8</v>
      </c>
      <c r="F18" s="109">
        <v>3.384696736270266</v>
      </c>
      <c r="G18" s="110">
        <v>2505.155191715352</v>
      </c>
      <c r="H18" s="110">
        <v>869.34552504959049</v>
      </c>
      <c r="I18" s="110">
        <v>1342.072568376024</v>
      </c>
      <c r="J18" s="110">
        <v>2.8022541181116889</v>
      </c>
      <c r="K18" s="110">
        <v>1229.238675939974</v>
      </c>
      <c r="L18" s="110">
        <v>2293.0523916681132</v>
      </c>
      <c r="M18" s="111">
        <v>2658.213278580412</v>
      </c>
      <c r="N18" s="112">
        <v>268982.17552313942</v>
      </c>
      <c r="O18" s="113">
        <v>83.046415763800439</v>
      </c>
      <c r="P18" s="110">
        <v>1334.7948180284679</v>
      </c>
      <c r="Q18" s="111">
        <v>765.992470734726</v>
      </c>
      <c r="R18" s="113">
        <v>55624.287844500002</v>
      </c>
      <c r="S18" s="110">
        <v>1438</v>
      </c>
      <c r="T18" s="110">
        <v>5559.8316893417041</v>
      </c>
      <c r="U18" s="110">
        <v>276.38509151003609</v>
      </c>
      <c r="V18" s="110">
        <v>8023.7622099963137</v>
      </c>
      <c r="W18" s="110">
        <v>133.6115515805397</v>
      </c>
      <c r="X18" s="110">
        <v>475.50457390477879</v>
      </c>
      <c r="Y18" s="111">
        <v>147.81370001574319</v>
      </c>
      <c r="Z18" s="289">
        <v>9746.5114303555547</v>
      </c>
      <c r="AA18" s="110"/>
      <c r="AB18" s="115">
        <f t="shared" si="20"/>
        <v>465070.84572752984</v>
      </c>
      <c r="AC18" s="113">
        <f t="shared" si="3"/>
        <v>828562.44293184835</v>
      </c>
      <c r="AD18" s="110">
        <v>59942.609104345909</v>
      </c>
      <c r="AE18" s="111">
        <f t="shared" si="21"/>
        <v>768619.83382750244</v>
      </c>
      <c r="AF18" s="116" t="s">
        <v>101</v>
      </c>
      <c r="AG18" s="117">
        <v>28972.982330475879</v>
      </c>
      <c r="AH18" s="118">
        <v>9751.4882005854142</v>
      </c>
      <c r="AI18" s="118">
        <v>11869.656895115681</v>
      </c>
      <c r="AJ18" s="118">
        <v>27.523099444643108</v>
      </c>
      <c r="AK18" s="118">
        <v>16715.022473714442</v>
      </c>
      <c r="AL18" s="118">
        <v>17750.749120847129</v>
      </c>
      <c r="AM18" s="115">
        <v>4734.07357256455</v>
      </c>
      <c r="AN18" s="118">
        <v>325212.80757212383</v>
      </c>
      <c r="AO18" s="117">
        <v>1084.6952653244471</v>
      </c>
      <c r="AP18" s="118">
        <v>44.158125677227559</v>
      </c>
      <c r="AQ18" s="115">
        <v>6145.8854508636014</v>
      </c>
      <c r="AR18" s="117">
        <v>1041.448999481584</v>
      </c>
      <c r="AS18" s="118">
        <v>0</v>
      </c>
      <c r="AT18" s="118">
        <v>15456.86967520711</v>
      </c>
      <c r="AU18" s="118">
        <v>144.28860748510331</v>
      </c>
      <c r="AV18" s="118">
        <v>15108.768623304029</v>
      </c>
      <c r="AW18" s="118">
        <v>573.85061757985375</v>
      </c>
      <c r="AX18" s="118">
        <v>89.192656874205113</v>
      </c>
      <c r="AY18" s="115">
        <v>779.68305919798138</v>
      </c>
      <c r="AZ18" s="117">
        <v>9567.7013816631297</v>
      </c>
      <c r="BA18" s="115"/>
      <c r="BB18" s="119">
        <f t="shared" si="22"/>
        <v>465070.84572752984</v>
      </c>
      <c r="BC18" s="10">
        <f t="shared" si="23"/>
        <v>0</v>
      </c>
      <c r="BD18" s="113">
        <f t="shared" si="4"/>
        <v>37114</v>
      </c>
      <c r="BE18" s="110" t="str">
        <f t="shared" si="4"/>
        <v>Vaarten Lage afdeling ZOF</v>
      </c>
      <c r="BF18" s="120">
        <f t="shared" si="24"/>
        <v>3.7991267635552724E-2</v>
      </c>
      <c r="BG18" s="120">
        <f t="shared" si="5"/>
        <v>1.2818386611941327E-2</v>
      </c>
      <c r="BH18" s="120">
        <f t="shared" si="5"/>
        <v>1.5945363655082308E-2</v>
      </c>
      <c r="BI18" s="120">
        <f t="shared" si="5"/>
        <v>3.6599961561676948E-5</v>
      </c>
      <c r="BJ18" s="120">
        <f t="shared" si="5"/>
        <v>2.1657101770337403E-2</v>
      </c>
      <c r="BK18" s="120">
        <f t="shared" si="5"/>
        <v>2.4191057274561868E-2</v>
      </c>
      <c r="BL18" s="120">
        <f t="shared" si="5"/>
        <v>8.9218222648223492E-3</v>
      </c>
      <c r="BM18" s="120">
        <f t="shared" si="5"/>
        <v>0.71713965334069274</v>
      </c>
      <c r="BN18" s="120">
        <f t="shared" si="5"/>
        <v>1.4093586923349091E-3</v>
      </c>
      <c r="BO18" s="120">
        <f t="shared" si="5"/>
        <v>1.6642716013367726E-3</v>
      </c>
      <c r="BP18" s="120">
        <f t="shared" si="5"/>
        <v>8.3420120964459998E-3</v>
      </c>
      <c r="BQ18" s="120">
        <f t="shared" si="5"/>
        <v>6.8390424074100231E-2</v>
      </c>
      <c r="BR18" s="120">
        <f t="shared" si="5"/>
        <v>1.735536062812202E-3</v>
      </c>
      <c r="BS18" s="120">
        <f t="shared" si="5"/>
        <v>2.5365259485068768E-2</v>
      </c>
      <c r="BT18" s="120">
        <f t="shared" si="5"/>
        <v>5.0771514275568125E-4</v>
      </c>
      <c r="BU18" s="120">
        <f t="shared" si="5"/>
        <v>2.7918874468225274E-2</v>
      </c>
      <c r="BV18" s="120">
        <f t="shared" si="5"/>
        <v>8.5384291213714137E-4</v>
      </c>
      <c r="BW18" s="120">
        <f t="shared" si="6"/>
        <v>6.815385317017463E-4</v>
      </c>
      <c r="BX18" s="120">
        <f t="shared" si="6"/>
        <v>1.1194047800812687E-3</v>
      </c>
      <c r="BY18" s="120">
        <f t="shared" si="6"/>
        <v>2.331050963844777E-2</v>
      </c>
      <c r="BZ18" s="121">
        <f t="shared" si="25"/>
        <v>1.0000000000000002</v>
      </c>
      <c r="CA18" s="73">
        <f>SUMPRODUCT(BF18:BY18,$BF$19:$BY$19)</f>
        <v>0.84173117128846553</v>
      </c>
      <c r="CB18" s="74">
        <f t="shared" si="27"/>
        <v>0</v>
      </c>
      <c r="CC18" s="122">
        <f t="shared" si="28"/>
        <v>58622.404330369078</v>
      </c>
      <c r="CD18" s="123">
        <f t="shared" si="29"/>
        <v>594194.98309526325</v>
      </c>
      <c r="CE18" s="123">
        <f t="shared" si="30"/>
        <v>21724.163533709208</v>
      </c>
      <c r="CF18" s="123">
        <f t="shared" si="31"/>
        <v>11103.614799984163</v>
      </c>
      <c r="CG18" s="124">
        <f t="shared" si="32"/>
        <v>11781.669815331396</v>
      </c>
      <c r="CH18" s="114">
        <f t="shared" si="33"/>
        <v>42098.971247826237</v>
      </c>
      <c r="CI18" s="125">
        <f t="shared" si="34"/>
        <v>1167.7416810882476</v>
      </c>
      <c r="CJ18" s="125">
        <f t="shared" si="35"/>
        <v>56665.736843981584</v>
      </c>
      <c r="CK18" s="125">
        <f t="shared" si="36"/>
        <v>12028.916033316178</v>
      </c>
      <c r="CL18" s="125">
        <f t="shared" si="37"/>
        <v>7532.5429966872862</v>
      </c>
      <c r="CM18" s="126">
        <f t="shared" si="38"/>
        <v>11641.698554291872</v>
      </c>
      <c r="CN18" s="8">
        <f t="shared" si="39"/>
        <v>828562.44293184835</v>
      </c>
      <c r="CO18" s="81">
        <f t="shared" si="7"/>
        <v>0</v>
      </c>
      <c r="CP18" s="127" t="str">
        <f t="shared" si="8"/>
        <v>Vaarten Lage afdeling ZOF</v>
      </c>
      <c r="CQ18" s="128">
        <f t="shared" si="9"/>
        <v>0.84173117128846553</v>
      </c>
      <c r="CR18" s="129">
        <f>SUMPRODUCT(CC18:CG18,$CC$1:$CG$1)/SUMPRODUCT(CC18:CM18,$CC$1:$CM$1)</f>
        <v>0.89403271606926515</v>
      </c>
      <c r="CS18" s="130">
        <f>SUMPRODUCT(CC18:CG18,$CC$2:$CG$2)/SUMPRODUCT(CC18:CM18,$CC$2:$CM$2)</f>
        <v>0.79753022782069116</v>
      </c>
      <c r="CT18" s="110">
        <f t="shared" si="47"/>
        <v>14655.601082592269</v>
      </c>
      <c r="CU18" s="110">
        <f t="shared" si="47"/>
        <v>178258.49492857899</v>
      </c>
      <c r="CV18" s="110">
        <f t="shared" si="47"/>
        <v>5431.0408834273021</v>
      </c>
      <c r="CW18" s="110">
        <f t="shared" si="47"/>
        <v>2775.9036999960408</v>
      </c>
      <c r="CX18" s="110">
        <f t="shared" si="47"/>
        <v>2945.4174538328489</v>
      </c>
      <c r="CY18" s="110">
        <f t="shared" si="40"/>
        <v>10524.742811956559</v>
      </c>
      <c r="CZ18" s="110">
        <f t="shared" si="13"/>
        <v>291.93542027206189</v>
      </c>
      <c r="DA18" s="110">
        <f t="shared" si="14"/>
        <v>5666.5736843981567</v>
      </c>
      <c r="DB18" s="110">
        <f t="shared" si="15"/>
        <v>3007.2290083290445</v>
      </c>
      <c r="DC18" s="110">
        <f t="shared" si="16"/>
        <v>1883.1357491718215</v>
      </c>
      <c r="DD18" s="110">
        <f t="shared" si="17"/>
        <v>2910.424638572968</v>
      </c>
      <c r="DE18" s="131">
        <f t="shared" si="41"/>
        <v>178988.14203097575</v>
      </c>
      <c r="DF18" s="131">
        <f t="shared" si="42"/>
        <v>179445.75971781573</v>
      </c>
      <c r="DG18" s="132">
        <f t="shared" si="18"/>
        <v>0.2826627058050778</v>
      </c>
      <c r="DH18" s="107">
        <f t="shared" si="43"/>
        <v>0.84173117128846553</v>
      </c>
      <c r="DI18" s="120">
        <f t="shared" si="44"/>
        <v>1.1243938770935433</v>
      </c>
      <c r="DJ18" s="133">
        <f t="shared" si="45"/>
        <v>0.55906846548338773</v>
      </c>
      <c r="DK18" s="90"/>
    </row>
    <row r="19" spans="1:115" x14ac:dyDescent="0.3">
      <c r="B19" s="6" t="s">
        <v>102</v>
      </c>
      <c r="G19" s="134">
        <v>0</v>
      </c>
      <c r="H19" s="134">
        <v>0</v>
      </c>
      <c r="I19" s="134">
        <v>1</v>
      </c>
      <c r="J19" s="134">
        <v>1</v>
      </c>
      <c r="K19" s="134">
        <v>1</v>
      </c>
      <c r="L19" s="134">
        <v>1</v>
      </c>
      <c r="M19" s="134">
        <v>1</v>
      </c>
      <c r="N19" s="134">
        <v>1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1</v>
      </c>
      <c r="U19" s="134">
        <v>0</v>
      </c>
      <c r="V19" s="134">
        <v>0.48</v>
      </c>
      <c r="W19" s="134">
        <v>1</v>
      </c>
      <c r="X19" s="134">
        <v>0</v>
      </c>
      <c r="Y19" s="134">
        <v>0</v>
      </c>
      <c r="Z19" s="134">
        <v>0.61</v>
      </c>
      <c r="AA19" s="134"/>
      <c r="AB19" s="134"/>
      <c r="AC19" s="134"/>
      <c r="AD19" s="134"/>
      <c r="AE19" s="134"/>
      <c r="AF19" s="134"/>
      <c r="AG19" s="134">
        <v>0</v>
      </c>
      <c r="AH19" s="134">
        <v>0</v>
      </c>
      <c r="AI19" s="134">
        <v>1</v>
      </c>
      <c r="AJ19" s="134">
        <v>1</v>
      </c>
      <c r="AK19" s="134">
        <v>1</v>
      </c>
      <c r="AL19" s="134">
        <v>1</v>
      </c>
      <c r="AM19" s="134">
        <v>1</v>
      </c>
      <c r="AN19" s="134">
        <v>1</v>
      </c>
      <c r="AO19" s="134">
        <v>0</v>
      </c>
      <c r="AP19" s="134">
        <v>0</v>
      </c>
      <c r="AQ19" s="134">
        <v>0</v>
      </c>
      <c r="AR19" s="134">
        <v>0</v>
      </c>
      <c r="AS19" s="134">
        <v>0</v>
      </c>
      <c r="AT19" s="134">
        <v>1</v>
      </c>
      <c r="AU19" s="134">
        <v>0</v>
      </c>
      <c r="AV19" s="134">
        <v>0.48</v>
      </c>
      <c r="AW19" s="134">
        <v>1</v>
      </c>
      <c r="AX19" s="134">
        <v>0</v>
      </c>
      <c r="AY19" s="134">
        <v>0</v>
      </c>
      <c r="AZ19" s="134">
        <v>0.61</v>
      </c>
      <c r="BA19" s="134"/>
      <c r="BB19" s="5"/>
      <c r="BC19" s="8"/>
      <c r="BD19" s="5"/>
      <c r="BE19" s="5"/>
      <c r="BF19" s="134">
        <f>G19</f>
        <v>0</v>
      </c>
      <c r="BG19" s="134">
        <f t="shared" ref="BG19:BV20" si="48">H19</f>
        <v>0</v>
      </c>
      <c r="BH19" s="134">
        <f t="shared" si="48"/>
        <v>1</v>
      </c>
      <c r="BI19" s="134">
        <f t="shared" si="48"/>
        <v>1</v>
      </c>
      <c r="BJ19" s="134">
        <f t="shared" si="48"/>
        <v>1</v>
      </c>
      <c r="BK19" s="134">
        <f t="shared" si="48"/>
        <v>1</v>
      </c>
      <c r="BL19" s="134">
        <f t="shared" si="48"/>
        <v>1</v>
      </c>
      <c r="BM19" s="134">
        <f t="shared" si="48"/>
        <v>1</v>
      </c>
      <c r="BN19" s="134">
        <f t="shared" si="48"/>
        <v>0</v>
      </c>
      <c r="BO19" s="134">
        <f t="shared" si="48"/>
        <v>0</v>
      </c>
      <c r="BP19" s="134">
        <f t="shared" si="48"/>
        <v>0</v>
      </c>
      <c r="BQ19" s="134">
        <f t="shared" si="48"/>
        <v>0</v>
      </c>
      <c r="BR19" s="134">
        <f t="shared" si="48"/>
        <v>0</v>
      </c>
      <c r="BS19" s="134">
        <f t="shared" si="48"/>
        <v>1</v>
      </c>
      <c r="BT19" s="134">
        <f t="shared" si="48"/>
        <v>0</v>
      </c>
      <c r="BU19" s="134">
        <v>0.48</v>
      </c>
      <c r="BV19" s="134">
        <f t="shared" si="48"/>
        <v>1</v>
      </c>
      <c r="BW19" s="134">
        <f t="shared" ref="BW19:BY20" si="49">X19</f>
        <v>0</v>
      </c>
      <c r="BX19" s="134">
        <f t="shared" si="49"/>
        <v>0</v>
      </c>
      <c r="BY19" s="134">
        <f t="shared" si="49"/>
        <v>0.61</v>
      </c>
      <c r="BZ19" s="90"/>
      <c r="CB19" s="135" t="s">
        <v>103</v>
      </c>
      <c r="CC19" s="7">
        <f>CC1</f>
        <v>1.25</v>
      </c>
      <c r="CD19" s="7">
        <v>1.2</v>
      </c>
      <c r="CE19" s="7">
        <f t="shared" ref="CE19:CM20" si="50">CE1</f>
        <v>1.25</v>
      </c>
      <c r="CF19" s="7">
        <f t="shared" si="50"/>
        <v>1.25</v>
      </c>
      <c r="CG19" s="7">
        <f t="shared" si="50"/>
        <v>1.25</v>
      </c>
      <c r="CH19" s="7">
        <f t="shared" si="50"/>
        <v>0.75</v>
      </c>
      <c r="CI19" s="7">
        <f t="shared" si="50"/>
        <v>0.75</v>
      </c>
      <c r="CJ19" s="7">
        <f t="shared" si="50"/>
        <v>0.9</v>
      </c>
      <c r="CK19" s="7">
        <f t="shared" si="50"/>
        <v>0.75</v>
      </c>
      <c r="CL19" s="7">
        <f t="shared" si="50"/>
        <v>0.75</v>
      </c>
      <c r="CM19" s="7">
        <f t="shared" si="50"/>
        <v>0.75</v>
      </c>
      <c r="CN19" s="8"/>
      <c r="CO19" s="81"/>
      <c r="CP19" s="8"/>
      <c r="CQ19" s="7"/>
      <c r="CR19" s="8"/>
      <c r="CS19" s="136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6"/>
      <c r="DF19" s="86"/>
      <c r="DG19" s="137"/>
      <c r="DH19" s="7"/>
      <c r="DI19" s="90"/>
      <c r="DJ19" s="90"/>
    </row>
    <row r="20" spans="1:115" x14ac:dyDescent="0.3">
      <c r="G20" s="134">
        <v>0</v>
      </c>
      <c r="H20" s="134">
        <v>0</v>
      </c>
      <c r="I20" s="134">
        <v>1</v>
      </c>
      <c r="J20" s="134">
        <v>1</v>
      </c>
      <c r="K20" s="134">
        <v>1</v>
      </c>
      <c r="L20" s="134">
        <v>1</v>
      </c>
      <c r="M20" s="134">
        <v>1</v>
      </c>
      <c r="N20" s="134">
        <v>1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1</v>
      </c>
      <c r="U20" s="134">
        <v>0</v>
      </c>
      <c r="V20" s="134">
        <v>0.48</v>
      </c>
      <c r="W20" s="134">
        <v>1</v>
      </c>
      <c r="X20" s="134">
        <v>0</v>
      </c>
      <c r="Y20" s="134">
        <v>0</v>
      </c>
      <c r="Z20" s="134">
        <v>0.61</v>
      </c>
      <c r="AA20" s="134"/>
      <c r="AB20" s="134"/>
      <c r="AC20" s="8">
        <f t="shared" ref="AC20:AD20" si="51">SUM(AC23:AC36)/1000</f>
        <v>117.72624521498604</v>
      </c>
      <c r="AD20" s="8">
        <f t="shared" si="51"/>
        <v>32.136783700372973</v>
      </c>
      <c r="AE20" s="7">
        <f>AD20/AC20</f>
        <v>0.2729789236179776</v>
      </c>
      <c r="AF20" s="134"/>
      <c r="AG20" s="134">
        <v>0</v>
      </c>
      <c r="AH20" s="134">
        <v>0</v>
      </c>
      <c r="AI20" s="134">
        <v>1</v>
      </c>
      <c r="AJ20" s="134">
        <v>1</v>
      </c>
      <c r="AK20" s="134">
        <v>1</v>
      </c>
      <c r="AL20" s="134">
        <v>1</v>
      </c>
      <c r="AM20" s="134">
        <v>1</v>
      </c>
      <c r="AN20" s="134">
        <v>1</v>
      </c>
      <c r="AO20" s="134">
        <v>0</v>
      </c>
      <c r="AP20" s="134">
        <v>0</v>
      </c>
      <c r="AQ20" s="134">
        <v>0</v>
      </c>
      <c r="AR20" s="134">
        <v>0</v>
      </c>
      <c r="AS20" s="134">
        <v>0</v>
      </c>
      <c r="AT20" s="134">
        <v>1</v>
      </c>
      <c r="AU20" s="134">
        <v>0</v>
      </c>
      <c r="AV20" s="134">
        <v>0.48</v>
      </c>
      <c r="AW20" s="134">
        <v>1</v>
      </c>
      <c r="AX20" s="134">
        <v>0</v>
      </c>
      <c r="AY20" s="134">
        <v>0</v>
      </c>
      <c r="AZ20" s="134">
        <v>0.61</v>
      </c>
      <c r="BA20" s="134"/>
      <c r="BF20" s="134">
        <f>G20</f>
        <v>0</v>
      </c>
      <c r="BG20" s="134">
        <f t="shared" si="48"/>
        <v>0</v>
      </c>
      <c r="BH20" s="134">
        <f t="shared" si="48"/>
        <v>1</v>
      </c>
      <c r="BI20" s="134">
        <f t="shared" si="48"/>
        <v>1</v>
      </c>
      <c r="BJ20" s="134">
        <f t="shared" si="48"/>
        <v>1</v>
      </c>
      <c r="BK20" s="134">
        <f t="shared" si="48"/>
        <v>1</v>
      </c>
      <c r="BL20" s="134">
        <f t="shared" si="48"/>
        <v>1</v>
      </c>
      <c r="BM20" s="134">
        <f t="shared" si="48"/>
        <v>1</v>
      </c>
      <c r="BN20" s="134">
        <f t="shared" si="48"/>
        <v>0</v>
      </c>
      <c r="BO20" s="134">
        <f t="shared" si="48"/>
        <v>0</v>
      </c>
      <c r="BP20" s="134">
        <f t="shared" si="48"/>
        <v>0</v>
      </c>
      <c r="BQ20" s="134">
        <f t="shared" si="48"/>
        <v>0</v>
      </c>
      <c r="BR20" s="134">
        <f t="shared" si="48"/>
        <v>0</v>
      </c>
      <c r="BS20" s="134">
        <f t="shared" si="48"/>
        <v>1</v>
      </c>
      <c r="BT20" s="134">
        <f t="shared" si="48"/>
        <v>0</v>
      </c>
      <c r="BU20" s="134">
        <f t="shared" si="48"/>
        <v>0.48</v>
      </c>
      <c r="BV20" s="134">
        <f t="shared" si="48"/>
        <v>1</v>
      </c>
      <c r="BW20" s="134">
        <f t="shared" si="49"/>
        <v>0</v>
      </c>
      <c r="BX20" s="134">
        <f t="shared" si="49"/>
        <v>0</v>
      </c>
      <c r="BY20" s="134">
        <f>BY19</f>
        <v>0.61</v>
      </c>
      <c r="BZ20" s="90"/>
      <c r="CA20" s="7"/>
      <c r="CB20" s="135" t="s">
        <v>103</v>
      </c>
      <c r="CC20" s="7">
        <f>CC2</f>
        <v>0.75</v>
      </c>
      <c r="CD20" s="7">
        <v>0.8</v>
      </c>
      <c r="CE20" s="7">
        <f t="shared" si="50"/>
        <v>0.75</v>
      </c>
      <c r="CF20" s="7">
        <f t="shared" si="50"/>
        <v>0.75</v>
      </c>
      <c r="CG20" s="7">
        <f t="shared" si="50"/>
        <v>0.75</v>
      </c>
      <c r="CH20" s="7">
        <f t="shared" si="50"/>
        <v>1.25</v>
      </c>
      <c r="CI20" s="7">
        <f t="shared" si="50"/>
        <v>1.25</v>
      </c>
      <c r="CJ20" s="7">
        <f t="shared" si="50"/>
        <v>1.1000000000000001</v>
      </c>
      <c r="CK20" s="7">
        <f t="shared" si="50"/>
        <v>1.25</v>
      </c>
      <c r="CL20" s="7">
        <f t="shared" si="50"/>
        <v>1.25</v>
      </c>
      <c r="CM20" s="7">
        <f t="shared" si="50"/>
        <v>1.25</v>
      </c>
      <c r="CN20" s="8"/>
      <c r="CO20" s="81"/>
      <c r="CP20" s="8"/>
      <c r="CQ20" s="7"/>
      <c r="CR20" s="8"/>
      <c r="CS20" s="136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6"/>
      <c r="DF20" s="86"/>
      <c r="DG20" s="137"/>
      <c r="DH20" s="7"/>
      <c r="DI20" s="90"/>
      <c r="DJ20" s="90"/>
    </row>
    <row r="21" spans="1:115" s="138" customFormat="1" ht="14.7" customHeight="1" x14ac:dyDescent="0.3">
      <c r="A21" s="9"/>
      <c r="B21" s="139"/>
      <c r="C21" s="341" t="s">
        <v>4</v>
      </c>
      <c r="D21" s="341"/>
      <c r="E21" s="341"/>
      <c r="F21" s="342"/>
      <c r="G21" s="343" t="s">
        <v>104</v>
      </c>
      <c r="H21" s="343"/>
      <c r="I21" s="343"/>
      <c r="J21" s="343"/>
      <c r="K21" s="343"/>
      <c r="L21" s="343"/>
      <c r="M21" s="344"/>
      <c r="N21" s="140" t="s">
        <v>105</v>
      </c>
      <c r="O21" s="345" t="s">
        <v>106</v>
      </c>
      <c r="P21" s="343"/>
      <c r="Q21" s="344"/>
      <c r="R21" s="345" t="s">
        <v>107</v>
      </c>
      <c r="S21" s="343"/>
      <c r="T21" s="343"/>
      <c r="U21" s="343"/>
      <c r="V21" s="343"/>
      <c r="W21" s="343"/>
      <c r="X21" s="343"/>
      <c r="Y21" s="344"/>
      <c r="Z21" s="345" t="s">
        <v>108</v>
      </c>
      <c r="AA21" s="343"/>
      <c r="AB21" s="343"/>
      <c r="AC21" s="345" t="s">
        <v>109</v>
      </c>
      <c r="AD21" s="343"/>
      <c r="AE21" s="344"/>
      <c r="AF21" s="141" t="s">
        <v>11</v>
      </c>
      <c r="AG21" s="327" t="s">
        <v>104</v>
      </c>
      <c r="AH21" s="328"/>
      <c r="AI21" s="328"/>
      <c r="AJ21" s="328"/>
      <c r="AK21" s="328"/>
      <c r="AL21" s="328"/>
      <c r="AM21" s="329"/>
      <c r="AN21" s="142"/>
      <c r="AO21" s="327" t="s">
        <v>106</v>
      </c>
      <c r="AP21" s="328"/>
      <c r="AQ21" s="329"/>
      <c r="AR21" s="327" t="s">
        <v>107</v>
      </c>
      <c r="AS21" s="328"/>
      <c r="AT21" s="328"/>
      <c r="AU21" s="328"/>
      <c r="AV21" s="328"/>
      <c r="AW21" s="328"/>
      <c r="AX21" s="328"/>
      <c r="AY21" s="329"/>
      <c r="AZ21" s="327" t="s">
        <v>110</v>
      </c>
      <c r="BA21" s="329"/>
      <c r="BB21" s="143" t="s">
        <v>13</v>
      </c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Y21" s="7"/>
      <c r="BZ21" s="90"/>
      <c r="CC21" s="330" t="s">
        <v>14</v>
      </c>
      <c r="CD21" s="331"/>
      <c r="CE21" s="331"/>
      <c r="CF21" s="331"/>
      <c r="CG21" s="332"/>
      <c r="CH21" s="333" t="s">
        <v>15</v>
      </c>
      <c r="CI21" s="334"/>
      <c r="CJ21" s="334"/>
      <c r="CK21" s="334"/>
      <c r="CL21" s="334"/>
      <c r="CM21" s="335"/>
      <c r="CN21" s="8"/>
      <c r="CO21" s="81"/>
      <c r="CP21" s="63"/>
      <c r="CQ21" s="336" t="s">
        <v>111</v>
      </c>
      <c r="CR21" s="337"/>
      <c r="CS21" s="338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145"/>
      <c r="DF21" s="145"/>
      <c r="DG21" s="146"/>
      <c r="DH21" s="310" t="s">
        <v>112</v>
      </c>
      <c r="DI21" s="310"/>
      <c r="DJ21" s="311"/>
    </row>
    <row r="22" spans="1:115" s="16" customFormat="1" ht="43.2" customHeight="1" x14ac:dyDescent="0.3">
      <c r="A22" s="17" t="s">
        <v>19</v>
      </c>
      <c r="B22" s="18" t="s">
        <v>20</v>
      </c>
      <c r="C22" s="147" t="s">
        <v>113</v>
      </c>
      <c r="D22" s="147" t="s">
        <v>114</v>
      </c>
      <c r="E22" s="147" t="s">
        <v>115</v>
      </c>
      <c r="F22" s="148" t="s">
        <v>116</v>
      </c>
      <c r="G22" s="149" t="s">
        <v>25</v>
      </c>
      <c r="H22" s="149" t="s">
        <v>26</v>
      </c>
      <c r="I22" s="149" t="s">
        <v>27</v>
      </c>
      <c r="J22" s="149" t="s">
        <v>28</v>
      </c>
      <c r="K22" s="149" t="s">
        <v>29</v>
      </c>
      <c r="L22" s="149" t="s">
        <v>30</v>
      </c>
      <c r="M22" s="150" t="s">
        <v>31</v>
      </c>
      <c r="N22" s="151" t="s">
        <v>32</v>
      </c>
      <c r="O22" s="152" t="s">
        <v>33</v>
      </c>
      <c r="P22" s="149" t="s">
        <v>34</v>
      </c>
      <c r="Q22" s="150" t="s">
        <v>35</v>
      </c>
      <c r="R22" s="152" t="s">
        <v>36</v>
      </c>
      <c r="S22" s="149" t="s">
        <v>37</v>
      </c>
      <c r="T22" s="149" t="s">
        <v>38</v>
      </c>
      <c r="U22" s="149" t="s">
        <v>39</v>
      </c>
      <c r="V22" s="149" t="s">
        <v>40</v>
      </c>
      <c r="W22" s="149" t="s">
        <v>41</v>
      </c>
      <c r="X22" s="149" t="s">
        <v>42</v>
      </c>
      <c r="Y22" s="150" t="s">
        <v>43</v>
      </c>
      <c r="Z22" s="153" t="s">
        <v>44</v>
      </c>
      <c r="AA22" s="149" t="s">
        <v>45</v>
      </c>
      <c r="AB22" s="154" t="s">
        <v>46</v>
      </c>
      <c r="AC22" s="152" t="s">
        <v>47</v>
      </c>
      <c r="AD22" s="149" t="s">
        <v>48</v>
      </c>
      <c r="AE22" s="150" t="s">
        <v>49</v>
      </c>
      <c r="AF22" s="154" t="s">
        <v>20</v>
      </c>
      <c r="AG22" s="155" t="s">
        <v>25</v>
      </c>
      <c r="AH22" s="154" t="s">
        <v>26</v>
      </c>
      <c r="AI22" s="154" t="s">
        <v>27</v>
      </c>
      <c r="AJ22" s="154" t="s">
        <v>28</v>
      </c>
      <c r="AK22" s="154" t="s">
        <v>29</v>
      </c>
      <c r="AL22" s="154" t="s">
        <v>30</v>
      </c>
      <c r="AM22" s="156" t="s">
        <v>31</v>
      </c>
      <c r="AN22" s="154" t="s">
        <v>32</v>
      </c>
      <c r="AO22" s="155" t="s">
        <v>33</v>
      </c>
      <c r="AP22" s="154" t="s">
        <v>34</v>
      </c>
      <c r="AQ22" s="156" t="s">
        <v>35</v>
      </c>
      <c r="AR22" s="155" t="s">
        <v>36</v>
      </c>
      <c r="AS22" s="154" t="s">
        <v>37</v>
      </c>
      <c r="AT22" s="154" t="s">
        <v>38</v>
      </c>
      <c r="AU22" s="154" t="s">
        <v>39</v>
      </c>
      <c r="AV22" s="154" t="s">
        <v>40</v>
      </c>
      <c r="AW22" s="154" t="s">
        <v>41</v>
      </c>
      <c r="AX22" s="154" t="s">
        <v>42</v>
      </c>
      <c r="AY22" s="156" t="s">
        <v>43</v>
      </c>
      <c r="AZ22" s="155" t="s">
        <v>44</v>
      </c>
      <c r="BA22" s="156" t="s">
        <v>45</v>
      </c>
      <c r="BB22" s="156" t="s">
        <v>46</v>
      </c>
      <c r="BD22" s="32" t="s">
        <v>50</v>
      </c>
      <c r="BE22" s="33" t="s">
        <v>51</v>
      </c>
      <c r="BF22" s="34" t="str">
        <f>G22</f>
        <v>Bemesting
actueel</v>
      </c>
      <c r="BG22" s="34" t="str">
        <f t="shared" ref="BG22:BY22" si="52">H22</f>
        <v>Bemesting
historisch</v>
      </c>
      <c r="BH22" s="34" t="str">
        <f t="shared" si="52"/>
        <v>Depositie</v>
      </c>
      <c r="BI22" s="34" t="str">
        <f t="shared" si="52"/>
        <v>Infiltratie</v>
      </c>
      <c r="BJ22" s="34" t="str">
        <f t="shared" si="52"/>
        <v>Kwel</v>
      </c>
      <c r="BK22" s="34" t="str">
        <f t="shared" si="52"/>
        <v>Mineralisatie
en uitloging</v>
      </c>
      <c r="BL22" s="34" t="str">
        <f t="shared" si="52"/>
        <v>Natuur-
gronden</v>
      </c>
      <c r="BM22" s="34" t="str">
        <f t="shared" si="52"/>
        <v>Directe kwel</v>
      </c>
      <c r="BN22" s="34" t="str">
        <f t="shared" si="52"/>
        <v>Erfaf-
spoeling</v>
      </c>
      <c r="BO22" s="34" t="str">
        <f t="shared" si="52"/>
        <v>Glas-
tuinbouw</v>
      </c>
      <c r="BP22" s="34" t="str">
        <f t="shared" si="52"/>
        <v>Mee-
mesten</v>
      </c>
      <c r="BQ22" s="34" t="str">
        <f t="shared" si="52"/>
        <v>RWZI</v>
      </c>
      <c r="BR22" s="34" t="str">
        <f t="shared" si="52"/>
        <v>Industrie</v>
      </c>
      <c r="BS22" s="34" t="str">
        <f t="shared" si="52"/>
        <v>Depositie
open water</v>
      </c>
      <c r="BT22" s="34" t="str">
        <f t="shared" si="52"/>
        <v>Overstort</v>
      </c>
      <c r="BU22" s="34" t="str">
        <f t="shared" si="52"/>
        <v>Regen
waterriolen</v>
      </c>
      <c r="BV22" s="34" t="str">
        <f t="shared" si="52"/>
        <v>Water-
vogels</v>
      </c>
      <c r="BW22" s="34" t="str">
        <f t="shared" si="52"/>
        <v>Binnen-
vaart</v>
      </c>
      <c r="BX22" s="34" t="str">
        <f t="shared" si="52"/>
        <v>Overige</v>
      </c>
      <c r="BY22" s="34" t="str">
        <f t="shared" si="52"/>
        <v>Inlaat Rijkswater</v>
      </c>
      <c r="BZ22" s="35" t="s">
        <v>52</v>
      </c>
      <c r="CA22" s="312" t="s">
        <v>53</v>
      </c>
      <c r="CB22" s="313"/>
      <c r="CC22" s="36" t="str">
        <f>CC4</f>
        <v>UA landbouw  door kwel mineralisatie depositie inf.ow en UA natuur</v>
      </c>
      <c r="CD22" s="37" t="str">
        <f t="shared" ref="CD22:CN22" si="53">CD4</f>
        <v>directe kwel</v>
      </c>
      <c r="CE22" s="37" t="str">
        <f t="shared" si="53"/>
        <v>directe depositie en watervogels</v>
      </c>
      <c r="CF22" s="37" t="s">
        <v>69</v>
      </c>
      <c r="CG22" s="38" t="str">
        <f t="shared" si="53"/>
        <v>deels inlaat  ijsselmeer water</v>
      </c>
      <c r="CH22" s="39" t="str">
        <f t="shared" si="53"/>
        <v>UA landbouw door mest</v>
      </c>
      <c r="CI22" s="40" t="str">
        <f t="shared" si="53"/>
        <v>Erf afspoeling</v>
      </c>
      <c r="CJ22" s="40" t="str">
        <f t="shared" si="53"/>
        <v>RWZI's</v>
      </c>
      <c r="CK22" s="40" t="str">
        <f t="shared" si="53"/>
        <v>regenwater riolen</v>
      </c>
      <c r="CL22" s="40" t="str">
        <f t="shared" si="53"/>
        <v>deels inlaat rijkswater</v>
      </c>
      <c r="CM22" s="41" t="str">
        <f t="shared" si="53"/>
        <v>overige</v>
      </c>
      <c r="CN22" s="16" t="str">
        <f t="shared" si="53"/>
        <v>totaal</v>
      </c>
      <c r="CO22" s="81"/>
      <c r="CP22" s="112"/>
      <c r="CQ22" s="157" t="s">
        <v>66</v>
      </c>
      <c r="CR22" s="158" t="s">
        <v>67</v>
      </c>
      <c r="CS22" s="159" t="s">
        <v>68</v>
      </c>
      <c r="CT22" s="160" t="str">
        <f>CT4</f>
        <v>UA landbouw  door kwel mineralisatie depositie inf.ow en UA natuur</v>
      </c>
      <c r="CU22" s="160" t="str">
        <f t="shared" ref="CU22:DD22" si="54">CU4</f>
        <v>directe kwel</v>
      </c>
      <c r="CV22" s="160" t="str">
        <f t="shared" si="54"/>
        <v>directe depositie en watervogels</v>
      </c>
      <c r="CW22" s="160" t="str">
        <f t="shared" si="54"/>
        <v>deels (60%) regenwater riolen</v>
      </c>
      <c r="CX22" s="161" t="str">
        <f t="shared" si="54"/>
        <v>deels inlaat  ijsselmeer water</v>
      </c>
      <c r="CY22" s="162" t="str">
        <f t="shared" si="54"/>
        <v>UA landbouw door mest</v>
      </c>
      <c r="CZ22" s="163" t="str">
        <f t="shared" si="54"/>
        <v>Erf afspoeling</v>
      </c>
      <c r="DA22" s="163" t="str">
        <f t="shared" si="54"/>
        <v>RWZI's</v>
      </c>
      <c r="DB22" s="163" t="str">
        <f t="shared" si="54"/>
        <v>regenwater riolen</v>
      </c>
      <c r="DC22" s="163" t="str">
        <f t="shared" si="54"/>
        <v>deels inlaat rijkswater</v>
      </c>
      <c r="DD22" s="164" t="str">
        <f t="shared" si="54"/>
        <v>overige</v>
      </c>
      <c r="DE22" s="165" t="s">
        <v>70</v>
      </c>
      <c r="DF22" s="165" t="s">
        <v>71</v>
      </c>
      <c r="DG22" s="53" t="s">
        <v>72</v>
      </c>
      <c r="DH22" s="166" t="s">
        <v>66</v>
      </c>
      <c r="DI22" s="167" t="s">
        <v>73</v>
      </c>
      <c r="DJ22" s="168" t="s">
        <v>74</v>
      </c>
    </row>
    <row r="23" spans="1:115" x14ac:dyDescent="0.3">
      <c r="A23" s="169">
        <v>37101</v>
      </c>
      <c r="B23" s="9" t="s">
        <v>75</v>
      </c>
      <c r="C23" s="170">
        <f t="shared" ref="C23:C36" si="55">(SUMPRODUCT(G23:AA23,$G$37:$AA$37)+SUMPRODUCT(AG23:BA23,$AG$37:$BA$37))/AC23</f>
        <v>0.905550626957347</v>
      </c>
      <c r="D23" s="171">
        <f>C23*F23</f>
        <v>0.14135957545641067</v>
      </c>
      <c r="E23" s="171">
        <v>0.15</v>
      </c>
      <c r="F23" s="60">
        <v>0.15610344827586206</v>
      </c>
      <c r="G23" s="61">
        <v>54.173903278886137</v>
      </c>
      <c r="H23" s="8">
        <v>7.4873048047130402</v>
      </c>
      <c r="I23" s="8"/>
      <c r="J23" s="8">
        <v>0.1759943089051007</v>
      </c>
      <c r="K23" s="8">
        <v>94.96489057570669</v>
      </c>
      <c r="L23" s="8">
        <v>25.295053703500681</v>
      </c>
      <c r="M23" s="95">
        <v>278.72449772316281</v>
      </c>
      <c r="N23" s="96">
        <v>1500.008382880254</v>
      </c>
      <c r="O23" s="71">
        <v>65.682576617716563</v>
      </c>
      <c r="P23" s="8">
        <v>3.6242142221628248E-2</v>
      </c>
      <c r="Q23" s="95">
        <v>22.67282808084623</v>
      </c>
      <c r="R23" s="71">
        <v>0</v>
      </c>
      <c r="S23" s="8"/>
      <c r="T23" s="8"/>
      <c r="U23" s="8">
        <v>3.2895931303133761</v>
      </c>
      <c r="V23" s="8">
        <v>103.0935074958801</v>
      </c>
      <c r="W23" s="8">
        <v>7.6335445755471909</v>
      </c>
      <c r="X23" s="8">
        <v>0</v>
      </c>
      <c r="Y23" s="95">
        <v>10.75218950602534</v>
      </c>
      <c r="Z23" s="97">
        <v>0</v>
      </c>
      <c r="AA23" s="8"/>
      <c r="AB23" s="66">
        <f>SUM(AG23:BA23)</f>
        <v>0</v>
      </c>
      <c r="AC23" s="64">
        <f t="shared" ref="AC23:AC36" si="56">SUM(G23:AB23)</f>
        <v>2173.9905088236792</v>
      </c>
      <c r="AD23" s="61">
        <v>634.7026761750991</v>
      </c>
      <c r="AE23" s="62">
        <f>AC23-AD23</f>
        <v>1539.2878326485802</v>
      </c>
      <c r="AF23" s="172" t="s">
        <v>76</v>
      </c>
      <c r="AG23" s="68"/>
      <c r="AH23" s="69"/>
      <c r="AI23" s="69"/>
      <c r="AJ23" s="69"/>
      <c r="AK23" s="69"/>
      <c r="AL23" s="69"/>
      <c r="AM23" s="66"/>
      <c r="AN23" s="69"/>
      <c r="AO23" s="68"/>
      <c r="AP23" s="69"/>
      <c r="AQ23" s="66"/>
      <c r="AR23" s="68"/>
      <c r="AS23" s="69"/>
      <c r="AT23" s="69"/>
      <c r="AU23" s="69"/>
      <c r="AV23" s="69"/>
      <c r="AW23" s="69"/>
      <c r="AX23" s="69"/>
      <c r="AY23" s="66"/>
      <c r="AZ23" s="68"/>
      <c r="BA23" s="66"/>
      <c r="BB23" s="102">
        <f>SUM(AG23:BA23)</f>
        <v>0</v>
      </c>
      <c r="BC23" s="10">
        <f>BB23-AB23</f>
        <v>0</v>
      </c>
      <c r="BD23" s="71">
        <f t="shared" ref="BD23:BE36" si="57">A23</f>
        <v>37101</v>
      </c>
      <c r="BE23" s="8" t="str">
        <f t="shared" si="57"/>
        <v>Tochten ABC1</v>
      </c>
      <c r="BF23" s="7">
        <f>(G23+AG23)/$AC23</f>
        <v>2.4919107539342018E-2</v>
      </c>
      <c r="BG23" s="7">
        <f t="shared" ref="BG23:BV36" si="58">(H23+AH23)/$AC23</f>
        <v>3.4440374851334257E-3</v>
      </c>
      <c r="BH23" s="7">
        <f t="shared" si="58"/>
        <v>0</v>
      </c>
      <c r="BI23" s="7">
        <f t="shared" si="58"/>
        <v>8.0954497359019825E-5</v>
      </c>
      <c r="BJ23" s="7">
        <f t="shared" si="58"/>
        <v>4.3682293087420644E-2</v>
      </c>
      <c r="BK23" s="7">
        <f t="shared" si="58"/>
        <v>1.1635310090285324E-2</v>
      </c>
      <c r="BL23" s="7">
        <f t="shared" si="58"/>
        <v>0.12820870035627588</v>
      </c>
      <c r="BM23" s="7">
        <f t="shared" si="58"/>
        <v>0.6899792693629978</v>
      </c>
      <c r="BN23" s="7">
        <f t="shared" si="58"/>
        <v>3.0212908635583988E-2</v>
      </c>
      <c r="BO23" s="7">
        <f t="shared" si="58"/>
        <v>1.6670791373987389E-5</v>
      </c>
      <c r="BP23" s="7">
        <f t="shared" si="58"/>
        <v>1.0429129284982129E-2</v>
      </c>
      <c r="BQ23" s="7">
        <f t="shared" si="58"/>
        <v>0</v>
      </c>
      <c r="BR23" s="7">
        <f t="shared" si="58"/>
        <v>0</v>
      </c>
      <c r="BS23" s="7">
        <f t="shared" si="58"/>
        <v>0</v>
      </c>
      <c r="BT23" s="7">
        <f t="shared" si="58"/>
        <v>1.5131589199500859E-3</v>
      </c>
      <c r="BU23" s="7">
        <f t="shared" si="58"/>
        <v>4.7421323633865725E-2</v>
      </c>
      <c r="BV23" s="7">
        <f t="shared" si="58"/>
        <v>3.511305382688912E-3</v>
      </c>
      <c r="BW23" s="7">
        <f t="shared" ref="BW23:BY36" si="59">(X23+AX23)/$AC23</f>
        <v>0</v>
      </c>
      <c r="BX23" s="7">
        <f t="shared" si="59"/>
        <v>4.945830932740927E-3</v>
      </c>
      <c r="BY23" s="7">
        <f t="shared" si="59"/>
        <v>0</v>
      </c>
      <c r="BZ23" s="72">
        <f t="shared" si="25"/>
        <v>0.99999999999999989</v>
      </c>
      <c r="CA23" s="73">
        <f>SUMPRODUCT(BF23:BY23,$BF$37:$BY$37)</f>
        <v>0.905550626957347</v>
      </c>
      <c r="CB23" s="74">
        <f t="shared" ref="CB23:CB36" si="60">C23-CA23</f>
        <v>0</v>
      </c>
      <c r="CC23" s="75">
        <f>SUM(I23:M23)+SUM(AI23:AM23)</f>
        <v>399.1604363112753</v>
      </c>
      <c r="CD23" s="76">
        <f>N23+AN23</f>
        <v>1500.008382880254</v>
      </c>
      <c r="CE23" s="76">
        <f>T23+W23+AT23+AW23</f>
        <v>7.6335445755471909</v>
      </c>
      <c r="CF23" s="76">
        <f>(V23+AV23)*AV$37</f>
        <v>61.856104497528058</v>
      </c>
      <c r="CG23" s="77">
        <f>(Z23+AZ23)*AZ$37</f>
        <v>0</v>
      </c>
      <c r="CH23" s="78">
        <f>G23+H23+AG23+AH23</f>
        <v>61.661208083599178</v>
      </c>
      <c r="CI23" s="79">
        <f>O23+AO23</f>
        <v>65.682576617716563</v>
      </c>
      <c r="CJ23" s="79">
        <f>R23+AR23</f>
        <v>0</v>
      </c>
      <c r="CK23" s="79">
        <f>(V23+AV23)*(1-AV$37)</f>
        <v>41.237402998352046</v>
      </c>
      <c r="CL23" s="79">
        <f>(Z23+AZ23)*(1-AZ$37)</f>
        <v>0</v>
      </c>
      <c r="CM23" s="80">
        <f>P23+Q23+S23+U23+X23+Y23+AP23+AQ23+AS23+AU23+AX23+AY23</f>
        <v>36.750852859406571</v>
      </c>
      <c r="CN23" s="8">
        <f>SUM(CC23:CM23)</f>
        <v>2173.9905088236792</v>
      </c>
      <c r="CO23" s="81">
        <f t="shared" ref="CO23:CO36" si="61">AC23-CN23</f>
        <v>0</v>
      </c>
      <c r="CP23" s="173" t="str">
        <f t="shared" ref="CP23:CP36" si="62">B23</f>
        <v>Tochten ABC1</v>
      </c>
      <c r="CQ23" s="174">
        <f t="shared" ref="CQ23:CQ36" si="63">CA23</f>
        <v>0.905550626957347</v>
      </c>
      <c r="CR23" s="175">
        <f t="shared" ref="CR23:CR30" si="64">SUMPRODUCT(CC23:CG23,$CC$1:$CG$1)/SUMPRODUCT(CC23:CM23,$CC$1:$CM$1)</f>
        <v>0.94274751273679469</v>
      </c>
      <c r="CS23" s="176">
        <f t="shared" ref="CS23:CS30" si="65">SUMPRODUCT(CC23:CG23,$CC$2:$CG$2)/SUMPRODUCT(CC23:CM23,$CC$2:$CM$2)</f>
        <v>0.86892540455590195</v>
      </c>
      <c r="CT23" s="8">
        <f t="shared" ref="CT23:CX36" si="66">CC23*(CC$1-1)</f>
        <v>99.790109077818826</v>
      </c>
      <c r="CU23" s="8">
        <f t="shared" si="66"/>
        <v>450.00251486407626</v>
      </c>
      <c r="CV23" s="8">
        <f t="shared" si="66"/>
        <v>1.9083861438867977</v>
      </c>
      <c r="CW23" s="8">
        <f t="shared" si="66"/>
        <v>15.464026124382015</v>
      </c>
      <c r="CX23" s="8">
        <f t="shared" si="66"/>
        <v>0</v>
      </c>
      <c r="CY23" s="8">
        <f>CH23*(1-CH$1)</f>
        <v>15.415302020899794</v>
      </c>
      <c r="CZ23" s="8">
        <f t="shared" ref="CZ23:CZ36" si="67">CI23*(1-CI$1)</f>
        <v>16.420644154429141</v>
      </c>
      <c r="DA23" s="8">
        <f t="shared" ref="DA23:DA36" si="68">CJ23*(1-CJ$1)</f>
        <v>0</v>
      </c>
      <c r="DB23" s="8">
        <f t="shared" ref="DB23:DB36" si="69">CK23*(1-CK$1)</f>
        <v>10.309350749588011</v>
      </c>
      <c r="DC23" s="8">
        <f t="shared" ref="DC23:DC36" si="70">CL23*(1-CL$1)</f>
        <v>0</v>
      </c>
      <c r="DD23" s="8">
        <f t="shared" ref="DD23:DD36" si="71">CM23*(1-CM$1)</f>
        <v>9.1877132148516427</v>
      </c>
      <c r="DE23" s="86">
        <f>SQRT(CT23^2+CU23^2+CV23^2+CW23^2+CX23^2)</f>
        <v>461.19747104185848</v>
      </c>
      <c r="DF23" s="86">
        <f>SQRT(CT23^2+CU23^2+CV23^2+CW23^2+CX23^2+CY23^2+CZ23^2+DA23^2+DB23^2+DC23^2++DD23^2)</f>
        <v>461.95354005921871</v>
      </c>
      <c r="DG23" s="87">
        <f t="shared" ref="DG23:DG36" si="72">CQ23*SQRT((DE23/SUM(CC23:CG23))^2+(DF23/SUM(CC23:CM23))^2)</f>
        <v>0.28641014097572637</v>
      </c>
      <c r="DH23" s="88">
        <f t="shared" si="43"/>
        <v>0.905550626957347</v>
      </c>
      <c r="DI23" s="7">
        <f t="shared" si="44"/>
        <v>1.1919607679330735</v>
      </c>
      <c r="DJ23" s="89">
        <f t="shared" si="45"/>
        <v>0.61914048598162064</v>
      </c>
    </row>
    <row r="24" spans="1:115" x14ac:dyDescent="0.3">
      <c r="A24" s="177">
        <v>37102</v>
      </c>
      <c r="B24" s="92" t="s">
        <v>77</v>
      </c>
      <c r="C24" s="7">
        <f t="shared" si="55"/>
        <v>0.84248383091089429</v>
      </c>
      <c r="D24" s="178">
        <f t="shared" ref="D24:D36" si="73">C24*F24</f>
        <v>7.5986651920961559E-2</v>
      </c>
      <c r="E24" s="178">
        <v>0.15</v>
      </c>
      <c r="F24" s="94">
        <v>9.0193602693602701E-2</v>
      </c>
      <c r="G24" s="8">
        <v>529.26796114691615</v>
      </c>
      <c r="H24" s="8">
        <v>19.845158510074469</v>
      </c>
      <c r="I24" s="8"/>
      <c r="J24" s="8">
        <v>1.000545127386169</v>
      </c>
      <c r="K24" s="8">
        <v>453.30901993834169</v>
      </c>
      <c r="L24" s="8">
        <v>245.67794158398331</v>
      </c>
      <c r="M24" s="95">
        <v>58.683782294654833</v>
      </c>
      <c r="N24" s="96">
        <v>2730.5238516536142</v>
      </c>
      <c r="O24" s="71">
        <v>135.39371056932791</v>
      </c>
      <c r="P24" s="8">
        <v>6.9233867460815043E-2</v>
      </c>
      <c r="Q24" s="95">
        <v>49.232024670965991</v>
      </c>
      <c r="R24" s="71">
        <v>0</v>
      </c>
      <c r="S24" s="8"/>
      <c r="T24" s="8"/>
      <c r="U24" s="8">
        <v>7.4469320642090508</v>
      </c>
      <c r="V24" s="8">
        <v>197.16644834467249</v>
      </c>
      <c r="W24" s="8">
        <v>15.606030021659111</v>
      </c>
      <c r="X24" s="8">
        <v>0</v>
      </c>
      <c r="Y24" s="95">
        <v>23.21054718283742</v>
      </c>
      <c r="Z24" s="97">
        <v>0</v>
      </c>
      <c r="AA24" s="8"/>
      <c r="AB24" s="98">
        <f t="shared" ref="AB24:AB36" si="74">SUM(AG24:BA24)</f>
        <v>1539.2878326485795</v>
      </c>
      <c r="AC24" s="71">
        <f t="shared" si="56"/>
        <v>6005.7210196246833</v>
      </c>
      <c r="AD24" s="8">
        <v>1717.235195515186</v>
      </c>
      <c r="AE24" s="95">
        <f t="shared" ref="AE24:AE36" si="75">AC24-AD24</f>
        <v>4288.4858241094971</v>
      </c>
      <c r="AF24" s="172" t="s">
        <v>78</v>
      </c>
      <c r="AG24" s="100">
        <v>27.086951639443068</v>
      </c>
      <c r="AH24" s="101">
        <v>3.7436524023565201</v>
      </c>
      <c r="AI24" s="101">
        <v>0</v>
      </c>
      <c r="AJ24" s="101">
        <v>8.7997154452550339E-2</v>
      </c>
      <c r="AK24" s="101">
        <v>47.482445287853352</v>
      </c>
      <c r="AL24" s="101">
        <v>12.647526851750341</v>
      </c>
      <c r="AM24" s="98">
        <v>139.36224886158141</v>
      </c>
      <c r="AN24" s="101">
        <v>1200.0067063042029</v>
      </c>
      <c r="AO24" s="100">
        <v>32.841288308858282</v>
      </c>
      <c r="AP24" s="101">
        <v>1.8121071110814121E-2</v>
      </c>
      <c r="AQ24" s="98">
        <v>11.33641404042311</v>
      </c>
      <c r="AR24" s="100">
        <v>0</v>
      </c>
      <c r="AS24" s="101">
        <v>0</v>
      </c>
      <c r="AT24" s="101">
        <v>0</v>
      </c>
      <c r="AU24" s="101">
        <v>1.644796565156688</v>
      </c>
      <c r="AV24" s="101">
        <v>51.546753747940038</v>
      </c>
      <c r="AW24" s="101">
        <v>6.1068356604377536</v>
      </c>
      <c r="AX24" s="101">
        <v>0</v>
      </c>
      <c r="AY24" s="98">
        <v>5.3760947530126701</v>
      </c>
      <c r="AZ24" s="100">
        <v>0</v>
      </c>
      <c r="BA24" s="98"/>
      <c r="BB24" s="102">
        <f t="shared" ref="BB24:BB36" si="76">SUM(AG24:BA24)</f>
        <v>1539.2878326485795</v>
      </c>
      <c r="BC24" s="10">
        <f t="shared" ref="BC24:BC36" si="77">BB24-AB24</f>
        <v>0</v>
      </c>
      <c r="BD24" s="71">
        <f t="shared" si="57"/>
        <v>37102</v>
      </c>
      <c r="BE24" s="8" t="str">
        <f t="shared" si="57"/>
        <v>Tochten ABC2</v>
      </c>
      <c r="BF24" s="7">
        <f t="shared" ref="BF24:BF36" si="78">(G24+AG24)/$AC24</f>
        <v>9.2637488649302532E-2</v>
      </c>
      <c r="BG24" s="7">
        <f t="shared" si="58"/>
        <v>3.9277233883076926E-3</v>
      </c>
      <c r="BH24" s="7">
        <f t="shared" si="58"/>
        <v>0</v>
      </c>
      <c r="BI24" s="7">
        <f t="shared" si="58"/>
        <v>1.8125089032303168E-4</v>
      </c>
      <c r="BJ24" s="7">
        <f t="shared" si="58"/>
        <v>8.3385735632703614E-2</v>
      </c>
      <c r="BK24" s="7">
        <f t="shared" si="58"/>
        <v>4.3013231482383646E-2</v>
      </c>
      <c r="BL24" s="7">
        <f t="shared" si="58"/>
        <v>3.2976228917242105E-2</v>
      </c>
      <c r="BM24" s="7">
        <f t="shared" si="58"/>
        <v>0.65446439238755194</v>
      </c>
      <c r="BN24" s="7">
        <f t="shared" si="58"/>
        <v>2.801245651079206E-2</v>
      </c>
      <c r="BO24" s="7">
        <f t="shared" si="58"/>
        <v>1.454528744944737E-5</v>
      </c>
      <c r="BP24" s="7">
        <f t="shared" si="58"/>
        <v>1.0085123586905177E-2</v>
      </c>
      <c r="BQ24" s="7">
        <f t="shared" si="58"/>
        <v>0</v>
      </c>
      <c r="BR24" s="7">
        <f t="shared" si="58"/>
        <v>0</v>
      </c>
      <c r="BS24" s="7">
        <f t="shared" si="58"/>
        <v>0</v>
      </c>
      <c r="BT24" s="7">
        <f t="shared" si="58"/>
        <v>1.513844649069948E-3</v>
      </c>
      <c r="BU24" s="7">
        <f t="shared" si="58"/>
        <v>4.1412713191288968E-2</v>
      </c>
      <c r="BV24" s="7">
        <f t="shared" si="58"/>
        <v>3.6153636859165613E-3</v>
      </c>
      <c r="BW24" s="7">
        <f t="shared" si="59"/>
        <v>0</v>
      </c>
      <c r="BX24" s="7">
        <f t="shared" si="59"/>
        <v>4.7599017407632697E-3</v>
      </c>
      <c r="BY24" s="7">
        <f t="shared" si="59"/>
        <v>0</v>
      </c>
      <c r="BZ24" s="72">
        <f t="shared" si="25"/>
        <v>0.99999999999999989</v>
      </c>
      <c r="CA24" s="73">
        <f t="shared" ref="CA24:CA32" si="79">SUMPRODUCT(BF24:BY24,$BF$37:$BY$37)</f>
        <v>0.84248383091089429</v>
      </c>
      <c r="CB24" s="74">
        <f t="shared" si="60"/>
        <v>0</v>
      </c>
      <c r="CC24" s="75">
        <f t="shared" ref="CC24:CC36" si="80">SUM(I24:M24)+SUM(AI24:AM24)</f>
        <v>958.25150710000366</v>
      </c>
      <c r="CD24" s="76">
        <f t="shared" ref="CD24:CD36" si="81">N24+AN24</f>
        <v>3930.5305579578171</v>
      </c>
      <c r="CE24" s="76">
        <f t="shared" ref="CE24:CE36" si="82">T24+W24+AT24+AW24</f>
        <v>21.712865682096865</v>
      </c>
      <c r="CF24" s="76">
        <f t="shared" ref="CF24:CF36" si="83">(V24+AV24)*AV$37</f>
        <v>149.22792125556751</v>
      </c>
      <c r="CG24" s="77">
        <f t="shared" ref="CG24:CG36" si="84">(Z24+AZ24)*AZ$37</f>
        <v>0</v>
      </c>
      <c r="CH24" s="78">
        <f t="shared" ref="CH24:CH36" si="85">G24+H24+AG24+AH24</f>
        <v>579.94372369879022</v>
      </c>
      <c r="CI24" s="79">
        <f t="shared" ref="CI24:CI36" si="86">O24+AO24</f>
        <v>168.23499887818619</v>
      </c>
      <c r="CJ24" s="79">
        <f t="shared" ref="CJ24:CJ36" si="87">R24+AR24</f>
        <v>0</v>
      </c>
      <c r="CK24" s="79">
        <f t="shared" ref="CK24:CK36" si="88">(V24+AV24)*(1-AV$37)</f>
        <v>99.485280837045025</v>
      </c>
      <c r="CL24" s="79">
        <f t="shared" ref="CL24:CL36" si="89">(Z24+AZ24)*(1-AZ$37)</f>
        <v>0</v>
      </c>
      <c r="CM24" s="80">
        <f t="shared" ref="CM24:CM36" si="90">P24+Q24+S24+U24+X24+Y24+AP24+AQ24+AS24+AU24+AX24+AY24</f>
        <v>98.334164215176543</v>
      </c>
      <c r="CN24" s="8">
        <f t="shared" ref="CN24:CN36" si="91">SUM(CC24:CM24)</f>
        <v>6005.7210196246833</v>
      </c>
      <c r="CO24" s="81">
        <f t="shared" si="61"/>
        <v>0</v>
      </c>
      <c r="CP24" s="173" t="str">
        <f t="shared" si="62"/>
        <v>Tochten ABC2</v>
      </c>
      <c r="CQ24" s="174">
        <f t="shared" si="63"/>
        <v>0.84248383091089429</v>
      </c>
      <c r="CR24" s="175">
        <f t="shared" si="64"/>
        <v>0.90187662136122626</v>
      </c>
      <c r="CS24" s="176">
        <f t="shared" si="65"/>
        <v>0.78758299903874507</v>
      </c>
      <c r="CT24" s="8">
        <f t="shared" si="66"/>
        <v>239.56287677500092</v>
      </c>
      <c r="CU24" s="8">
        <f t="shared" si="66"/>
        <v>1179.1591673873454</v>
      </c>
      <c r="CV24" s="8">
        <f t="shared" si="66"/>
        <v>5.4282164205242163</v>
      </c>
      <c r="CW24" s="8">
        <f t="shared" si="66"/>
        <v>37.306980313891877</v>
      </c>
      <c r="CX24" s="8">
        <f t="shared" si="66"/>
        <v>0</v>
      </c>
      <c r="CY24" s="8">
        <f t="shared" ref="CY24:CY36" si="92">CH24*(1-CH$1)</f>
        <v>144.98593092469756</v>
      </c>
      <c r="CZ24" s="8">
        <f t="shared" si="67"/>
        <v>42.058749719546547</v>
      </c>
      <c r="DA24" s="8">
        <f t="shared" si="68"/>
        <v>0</v>
      </c>
      <c r="DB24" s="8">
        <f t="shared" si="69"/>
        <v>24.871320209261256</v>
      </c>
      <c r="DC24" s="8">
        <f t="shared" si="70"/>
        <v>0</v>
      </c>
      <c r="DD24" s="8">
        <f t="shared" si="71"/>
        <v>24.583541053794136</v>
      </c>
      <c r="DE24" s="86">
        <f t="shared" ref="DE24:DE36" si="93">SQRT(CT24^2+CU24^2+CV24^2+CW24^2+CX24^2)</f>
        <v>1203.8388556098282</v>
      </c>
      <c r="DF24" s="86">
        <f t="shared" ref="DF24:DF36" si="94">SQRT(CT24^2+CU24^2+CV24^2+CW24^2+CX24^2+CY24^2+CZ24^2+DA24^2+DB24^2+DC24^2++DD24^2)</f>
        <v>1213.7713054483322</v>
      </c>
      <c r="DG24" s="87">
        <f t="shared" si="72"/>
        <v>0.26300361036229242</v>
      </c>
      <c r="DH24" s="88">
        <f t="shared" si="43"/>
        <v>0.84248383091089429</v>
      </c>
      <c r="DI24" s="7">
        <f t="shared" si="44"/>
        <v>1.1054874412731868</v>
      </c>
      <c r="DJ24" s="89">
        <f t="shared" si="45"/>
        <v>0.57948022054860182</v>
      </c>
    </row>
    <row r="25" spans="1:115" x14ac:dyDescent="0.3">
      <c r="A25" s="177">
        <v>37103</v>
      </c>
      <c r="B25" s="92" t="s">
        <v>79</v>
      </c>
      <c r="C25" s="7">
        <f t="shared" si="55"/>
        <v>0.66763485662879085</v>
      </c>
      <c r="D25" s="178">
        <f t="shared" si="73"/>
        <v>6.4816217331045117E-2</v>
      </c>
      <c r="E25" s="178">
        <v>0.3</v>
      </c>
      <c r="F25" s="94">
        <v>9.7083333333333341E-2</v>
      </c>
      <c r="G25" s="8">
        <v>98.930931405980971</v>
      </c>
      <c r="H25" s="8">
        <v>6.0665800359285544</v>
      </c>
      <c r="I25" s="8"/>
      <c r="J25" s="8">
        <v>9.3706252388471148E-2</v>
      </c>
      <c r="K25" s="8">
        <v>203.6333274749642</v>
      </c>
      <c r="L25" s="8">
        <v>32.420743507382973</v>
      </c>
      <c r="M25" s="95">
        <v>407.23061438525718</v>
      </c>
      <c r="N25" s="96">
        <v>232.2984394925823</v>
      </c>
      <c r="O25" s="71">
        <v>36.412809371061378</v>
      </c>
      <c r="P25" s="8">
        <v>2.5682458942595461</v>
      </c>
      <c r="Q25" s="95">
        <v>13.62897911484152</v>
      </c>
      <c r="R25" s="71">
        <v>0</v>
      </c>
      <c r="S25" s="8"/>
      <c r="T25" s="8"/>
      <c r="U25" s="8">
        <v>0</v>
      </c>
      <c r="V25" s="8">
        <v>3732.1646643828099</v>
      </c>
      <c r="W25" s="8">
        <v>317.5921670841189</v>
      </c>
      <c r="X25" s="8">
        <v>4.6615212443483331</v>
      </c>
      <c r="Y25" s="95">
        <v>16.97785500243047</v>
      </c>
      <c r="Z25" s="97">
        <v>70.490936370833339</v>
      </c>
      <c r="AA25" s="8"/>
      <c r="AB25" s="98">
        <f t="shared" si="74"/>
        <v>0</v>
      </c>
      <c r="AC25" s="71">
        <f t="shared" si="56"/>
        <v>5175.1715210191878</v>
      </c>
      <c r="AD25" s="8">
        <v>2400.0728412520298</v>
      </c>
      <c r="AE25" s="95">
        <f t="shared" si="75"/>
        <v>2775.098679767158</v>
      </c>
      <c r="AF25" s="172" t="s">
        <v>80</v>
      </c>
      <c r="AG25" s="100">
        <v>0</v>
      </c>
      <c r="AH25" s="101">
        <v>0</v>
      </c>
      <c r="AI25" s="101">
        <v>0</v>
      </c>
      <c r="AJ25" s="101">
        <v>0</v>
      </c>
      <c r="AK25" s="101">
        <v>0</v>
      </c>
      <c r="AL25" s="101">
        <v>0</v>
      </c>
      <c r="AM25" s="98">
        <v>0</v>
      </c>
      <c r="AN25" s="101">
        <v>0</v>
      </c>
      <c r="AO25" s="100">
        <v>0</v>
      </c>
      <c r="AP25" s="101">
        <v>0</v>
      </c>
      <c r="AQ25" s="98">
        <v>0</v>
      </c>
      <c r="AR25" s="100">
        <v>0</v>
      </c>
      <c r="AS25" s="101">
        <v>0</v>
      </c>
      <c r="AT25" s="101">
        <v>0</v>
      </c>
      <c r="AU25" s="101">
        <v>0</v>
      </c>
      <c r="AV25" s="101">
        <v>0</v>
      </c>
      <c r="AW25" s="101">
        <v>0</v>
      </c>
      <c r="AX25" s="101">
        <v>0</v>
      </c>
      <c r="AY25" s="98">
        <v>0</v>
      </c>
      <c r="AZ25" s="100">
        <v>0</v>
      </c>
      <c r="BA25" s="98"/>
      <c r="BB25" s="102">
        <f t="shared" si="76"/>
        <v>0</v>
      </c>
      <c r="BC25" s="10">
        <f t="shared" si="77"/>
        <v>0</v>
      </c>
      <c r="BD25" s="71">
        <f t="shared" si="57"/>
        <v>37103</v>
      </c>
      <c r="BE25" s="8" t="str">
        <f t="shared" si="57"/>
        <v>Tochten DE Almere</v>
      </c>
      <c r="BF25" s="7">
        <f t="shared" si="78"/>
        <v>1.9116454595595262E-2</v>
      </c>
      <c r="BG25" s="7">
        <f t="shared" si="58"/>
        <v>1.1722471441359713E-3</v>
      </c>
      <c r="BH25" s="7">
        <f t="shared" si="58"/>
        <v>0</v>
      </c>
      <c r="BI25" s="7">
        <f t="shared" si="58"/>
        <v>1.8106888246675315E-5</v>
      </c>
      <c r="BJ25" s="7">
        <f t="shared" si="58"/>
        <v>3.9348131100176764E-2</v>
      </c>
      <c r="BK25" s="7">
        <f t="shared" si="58"/>
        <v>6.2646703352158845E-3</v>
      </c>
      <c r="BL25" s="7">
        <f t="shared" si="58"/>
        <v>7.8689298070850802E-2</v>
      </c>
      <c r="BM25" s="7">
        <f t="shared" si="58"/>
        <v>4.4887099596427275E-2</v>
      </c>
      <c r="BN25" s="7">
        <f t="shared" si="58"/>
        <v>7.0360584616701383E-3</v>
      </c>
      <c r="BO25" s="7">
        <f t="shared" si="58"/>
        <v>4.9626295163909102E-4</v>
      </c>
      <c r="BP25" s="7">
        <f t="shared" si="58"/>
        <v>2.6335318664293191E-3</v>
      </c>
      <c r="BQ25" s="7">
        <f t="shared" si="58"/>
        <v>0</v>
      </c>
      <c r="BR25" s="7">
        <f t="shared" si="58"/>
        <v>0</v>
      </c>
      <c r="BS25" s="7">
        <f t="shared" si="58"/>
        <v>0</v>
      </c>
      <c r="BT25" s="7">
        <f t="shared" si="58"/>
        <v>0</v>
      </c>
      <c r="BU25" s="7">
        <f t="shared" si="58"/>
        <v>0.72116733700988622</v>
      </c>
      <c r="BV25" s="7">
        <f t="shared" si="58"/>
        <v>6.1368433064335023E-2</v>
      </c>
      <c r="BW25" s="7">
        <f t="shared" si="59"/>
        <v>9.0074719754028613E-4</v>
      </c>
      <c r="BX25" s="7">
        <f t="shared" si="59"/>
        <v>3.2806361940805558E-3</v>
      </c>
      <c r="BY25" s="7">
        <f t="shared" si="59"/>
        <v>1.3620985523770814E-2</v>
      </c>
      <c r="BZ25" s="72">
        <f t="shared" si="25"/>
        <v>1.0000000000000002</v>
      </c>
      <c r="CA25" s="73">
        <f t="shared" si="79"/>
        <v>0.66763485662879085</v>
      </c>
      <c r="CB25" s="74">
        <f t="shared" si="60"/>
        <v>0</v>
      </c>
      <c r="CC25" s="75">
        <f t="shared" si="80"/>
        <v>643.37839161999284</v>
      </c>
      <c r="CD25" s="76">
        <f t="shared" si="81"/>
        <v>232.2984394925823</v>
      </c>
      <c r="CE25" s="76">
        <f t="shared" si="82"/>
        <v>317.5921670841189</v>
      </c>
      <c r="CF25" s="76">
        <f t="shared" si="83"/>
        <v>2239.2987986296857</v>
      </c>
      <c r="CG25" s="77">
        <f t="shared" si="84"/>
        <v>22.557099638666667</v>
      </c>
      <c r="CH25" s="78">
        <f t="shared" si="85"/>
        <v>104.99751144190952</v>
      </c>
      <c r="CI25" s="79">
        <f t="shared" si="86"/>
        <v>36.412809371061378</v>
      </c>
      <c r="CJ25" s="79">
        <f t="shared" si="87"/>
        <v>0</v>
      </c>
      <c r="CK25" s="79">
        <f t="shared" si="88"/>
        <v>1492.8658657531241</v>
      </c>
      <c r="CL25" s="79">
        <f t="shared" si="89"/>
        <v>47.933836732166668</v>
      </c>
      <c r="CM25" s="80">
        <f t="shared" si="90"/>
        <v>37.83660125587987</v>
      </c>
      <c r="CN25" s="8">
        <f t="shared" si="91"/>
        <v>5175.1715210191887</v>
      </c>
      <c r="CO25" s="81">
        <f t="shared" si="61"/>
        <v>0</v>
      </c>
      <c r="CP25" s="173" t="str">
        <f t="shared" si="62"/>
        <v>Tochten DE Almere</v>
      </c>
      <c r="CQ25" s="174">
        <f t="shared" si="63"/>
        <v>0.66763485662879085</v>
      </c>
      <c r="CR25" s="175">
        <f t="shared" si="64"/>
        <v>0.77047911881005937</v>
      </c>
      <c r="CS25" s="176">
        <f t="shared" si="65"/>
        <v>0.54984354720301554</v>
      </c>
      <c r="CT25" s="8">
        <f t="shared" si="66"/>
        <v>160.84459790499821</v>
      </c>
      <c r="CU25" s="8">
        <f t="shared" si="66"/>
        <v>69.689531847774703</v>
      </c>
      <c r="CV25" s="8">
        <f t="shared" si="66"/>
        <v>79.398041771029725</v>
      </c>
      <c r="CW25" s="8">
        <f t="shared" si="66"/>
        <v>559.82469965742143</v>
      </c>
      <c r="CX25" s="8">
        <f t="shared" si="66"/>
        <v>5.6392749096666668</v>
      </c>
      <c r="CY25" s="8">
        <f t="shared" si="92"/>
        <v>26.249377860477381</v>
      </c>
      <c r="CZ25" s="8">
        <f t="shared" si="67"/>
        <v>9.1032023427653446</v>
      </c>
      <c r="DA25" s="8">
        <f t="shared" si="68"/>
        <v>0</v>
      </c>
      <c r="DB25" s="8">
        <f t="shared" si="69"/>
        <v>373.21646643828103</v>
      </c>
      <c r="DC25" s="8">
        <f t="shared" si="70"/>
        <v>11.983459183041667</v>
      </c>
      <c r="DD25" s="8">
        <f t="shared" si="71"/>
        <v>9.4591503139699675</v>
      </c>
      <c r="DE25" s="86">
        <f t="shared" si="93"/>
        <v>592.00266919118337</v>
      </c>
      <c r="DF25" s="86">
        <f t="shared" si="94"/>
        <v>700.54455111703749</v>
      </c>
      <c r="DG25" s="87">
        <f t="shared" si="72"/>
        <v>0.14578556524023276</v>
      </c>
      <c r="DH25" s="88">
        <f t="shared" si="43"/>
        <v>0.66763485662879085</v>
      </c>
      <c r="DI25" s="7">
        <f t="shared" si="44"/>
        <v>0.81342042186902364</v>
      </c>
      <c r="DJ25" s="89">
        <f t="shared" si="45"/>
        <v>0.52184929138855807</v>
      </c>
    </row>
    <row r="26" spans="1:115" x14ac:dyDescent="0.3">
      <c r="A26" s="177">
        <v>37104</v>
      </c>
      <c r="B26" s="92" t="s">
        <v>81</v>
      </c>
      <c r="C26" s="7">
        <f t="shared" si="55"/>
        <v>0.66477728462737795</v>
      </c>
      <c r="D26" s="178">
        <f t="shared" si="73"/>
        <v>0.19588770653686735</v>
      </c>
      <c r="E26" s="178">
        <v>0.22</v>
      </c>
      <c r="F26" s="94">
        <v>0.29466666666666663</v>
      </c>
      <c r="G26" s="8">
        <v>279.77811198383603</v>
      </c>
      <c r="H26" s="8">
        <v>11.08075275146925</v>
      </c>
      <c r="I26" s="8"/>
      <c r="J26" s="8">
        <v>0.61749444128703412</v>
      </c>
      <c r="K26" s="8">
        <v>104.86566415022889</v>
      </c>
      <c r="L26" s="8">
        <v>169.708132357289</v>
      </c>
      <c r="M26" s="95">
        <v>93.441248400945241</v>
      </c>
      <c r="N26" s="96">
        <v>832.64344535156749</v>
      </c>
      <c r="O26" s="71">
        <v>155.23355573978799</v>
      </c>
      <c r="P26" s="8">
        <v>0.85527313464697774</v>
      </c>
      <c r="Q26" s="95">
        <v>32.092037973844647</v>
      </c>
      <c r="R26" s="71">
        <v>0</v>
      </c>
      <c r="S26" s="8"/>
      <c r="T26" s="8"/>
      <c r="U26" s="8">
        <v>0</v>
      </c>
      <c r="V26" s="8">
        <v>1215.5968227162241</v>
      </c>
      <c r="W26" s="8">
        <v>15.118986200589511</v>
      </c>
      <c r="X26" s="8">
        <v>4.8334829722729067</v>
      </c>
      <c r="Y26" s="95">
        <v>11.059707104569529</v>
      </c>
      <c r="Z26" s="97">
        <v>0</v>
      </c>
      <c r="AA26" s="8"/>
      <c r="AB26" s="98">
        <f t="shared" si="74"/>
        <v>0</v>
      </c>
      <c r="AC26" s="71">
        <f t="shared" si="56"/>
        <v>2926.9247152785588</v>
      </c>
      <c r="AD26" s="8">
        <v>1207.68358328195</v>
      </c>
      <c r="AE26" s="95">
        <f t="shared" si="75"/>
        <v>1719.2411319966088</v>
      </c>
      <c r="AF26" s="172" t="s">
        <v>82</v>
      </c>
      <c r="AG26" s="100">
        <v>0</v>
      </c>
      <c r="AH26" s="101">
        <v>0</v>
      </c>
      <c r="AI26" s="101">
        <v>0</v>
      </c>
      <c r="AJ26" s="101">
        <v>0</v>
      </c>
      <c r="AK26" s="101">
        <v>0</v>
      </c>
      <c r="AL26" s="101">
        <v>0</v>
      </c>
      <c r="AM26" s="98">
        <v>0</v>
      </c>
      <c r="AN26" s="101">
        <v>0</v>
      </c>
      <c r="AO26" s="100">
        <v>0</v>
      </c>
      <c r="AP26" s="101">
        <v>0</v>
      </c>
      <c r="AQ26" s="98">
        <v>0</v>
      </c>
      <c r="AR26" s="100">
        <v>0</v>
      </c>
      <c r="AS26" s="101">
        <v>0</v>
      </c>
      <c r="AT26" s="101">
        <v>0</v>
      </c>
      <c r="AU26" s="101">
        <v>0</v>
      </c>
      <c r="AV26" s="101">
        <v>0</v>
      </c>
      <c r="AW26" s="101">
        <v>0</v>
      </c>
      <c r="AX26" s="101">
        <v>0</v>
      </c>
      <c r="AY26" s="98">
        <v>0</v>
      </c>
      <c r="AZ26" s="100">
        <v>0</v>
      </c>
      <c r="BA26" s="98"/>
      <c r="BB26" s="102">
        <f t="shared" si="76"/>
        <v>0</v>
      </c>
      <c r="BC26" s="10">
        <f t="shared" si="77"/>
        <v>0</v>
      </c>
      <c r="BD26" s="71">
        <f t="shared" si="57"/>
        <v>37104</v>
      </c>
      <c r="BE26" s="8" t="str">
        <f t="shared" si="57"/>
        <v>Tochten DE Zuidlob</v>
      </c>
      <c r="BF26" s="7">
        <f t="shared" si="78"/>
        <v>9.5587737710981474E-2</v>
      </c>
      <c r="BG26" s="7">
        <f t="shared" si="58"/>
        <v>3.7858003978126515E-3</v>
      </c>
      <c r="BH26" s="7">
        <f t="shared" si="58"/>
        <v>0</v>
      </c>
      <c r="BI26" s="7">
        <f t="shared" si="58"/>
        <v>2.1097038747314227E-4</v>
      </c>
      <c r="BJ26" s="7">
        <f t="shared" si="58"/>
        <v>3.5827933531337418E-2</v>
      </c>
      <c r="BK26" s="7">
        <f t="shared" si="58"/>
        <v>5.7981721043732989E-2</v>
      </c>
      <c r="BL26" s="7">
        <f t="shared" si="58"/>
        <v>3.1924718771610884E-2</v>
      </c>
      <c r="BM26" s="7">
        <f t="shared" si="58"/>
        <v>0.28447723339283904</v>
      </c>
      <c r="BN26" s="7">
        <f t="shared" si="58"/>
        <v>5.3036401971485021E-2</v>
      </c>
      <c r="BO26" s="7">
        <f t="shared" si="58"/>
        <v>2.9220879176784033E-4</v>
      </c>
      <c r="BP26" s="7">
        <f t="shared" si="58"/>
        <v>1.0964422079708467E-2</v>
      </c>
      <c r="BQ26" s="7">
        <f t="shared" si="58"/>
        <v>0</v>
      </c>
      <c r="BR26" s="7">
        <f t="shared" si="58"/>
        <v>0</v>
      </c>
      <c r="BS26" s="7">
        <f t="shared" si="58"/>
        <v>0</v>
      </c>
      <c r="BT26" s="7">
        <f t="shared" si="58"/>
        <v>0</v>
      </c>
      <c r="BU26" s="7">
        <f t="shared" si="58"/>
        <v>0.41531537055627149</v>
      </c>
      <c r="BV26" s="7">
        <f t="shared" si="58"/>
        <v>5.1654851666215881E-3</v>
      </c>
      <c r="BW26" s="7">
        <f t="shared" si="59"/>
        <v>1.651386162084083E-3</v>
      </c>
      <c r="BX26" s="7">
        <f t="shared" si="59"/>
        <v>3.7786100362738454E-3</v>
      </c>
      <c r="BY26" s="7">
        <f t="shared" si="59"/>
        <v>0</v>
      </c>
      <c r="BZ26" s="72">
        <f t="shared" si="25"/>
        <v>1</v>
      </c>
      <c r="CA26" s="73">
        <f t="shared" si="79"/>
        <v>0.66477728462737806</v>
      </c>
      <c r="CB26" s="74">
        <f t="shared" si="60"/>
        <v>0</v>
      </c>
      <c r="CC26" s="75">
        <f t="shared" si="80"/>
        <v>368.63253934975018</v>
      </c>
      <c r="CD26" s="76">
        <f t="shared" si="81"/>
        <v>832.64344535156749</v>
      </c>
      <c r="CE26" s="76">
        <f t="shared" si="82"/>
        <v>15.118986200589511</v>
      </c>
      <c r="CF26" s="76">
        <f t="shared" si="83"/>
        <v>729.35809362973441</v>
      </c>
      <c r="CG26" s="77">
        <f t="shared" si="84"/>
        <v>0</v>
      </c>
      <c r="CH26" s="78">
        <f t="shared" si="85"/>
        <v>290.8588647353053</v>
      </c>
      <c r="CI26" s="79">
        <f t="shared" si="86"/>
        <v>155.23355573978799</v>
      </c>
      <c r="CJ26" s="79">
        <f t="shared" si="87"/>
        <v>0</v>
      </c>
      <c r="CK26" s="79">
        <f t="shared" si="88"/>
        <v>486.23872908648968</v>
      </c>
      <c r="CL26" s="79">
        <f t="shared" si="89"/>
        <v>0</v>
      </c>
      <c r="CM26" s="80">
        <f t="shared" si="90"/>
        <v>48.840501185334062</v>
      </c>
      <c r="CN26" s="8">
        <f t="shared" si="91"/>
        <v>2926.9247152785588</v>
      </c>
      <c r="CO26" s="81">
        <f t="shared" si="61"/>
        <v>0</v>
      </c>
      <c r="CP26" s="173" t="str">
        <f t="shared" si="62"/>
        <v>Tochten DE Zuidlob</v>
      </c>
      <c r="CQ26" s="174">
        <f t="shared" si="63"/>
        <v>0.66477728462737806</v>
      </c>
      <c r="CR26" s="175">
        <f t="shared" si="64"/>
        <v>0.77073302044594583</v>
      </c>
      <c r="CS26" s="176">
        <f t="shared" si="65"/>
        <v>0.56364069839698916</v>
      </c>
      <c r="CT26" s="8">
        <f t="shared" si="66"/>
        <v>92.158134837437544</v>
      </c>
      <c r="CU26" s="8">
        <f t="shared" si="66"/>
        <v>249.7930336054703</v>
      </c>
      <c r="CV26" s="8">
        <f t="shared" si="66"/>
        <v>3.7797465501473777</v>
      </c>
      <c r="CW26" s="8">
        <f t="shared" si="66"/>
        <v>182.3395234074336</v>
      </c>
      <c r="CX26" s="8">
        <f t="shared" si="66"/>
        <v>0</v>
      </c>
      <c r="CY26" s="8">
        <f t="shared" si="92"/>
        <v>72.714716183826326</v>
      </c>
      <c r="CZ26" s="8">
        <f t="shared" si="67"/>
        <v>38.808388934946997</v>
      </c>
      <c r="DA26" s="8">
        <f t="shared" si="68"/>
        <v>0</v>
      </c>
      <c r="DB26" s="8">
        <f t="shared" si="69"/>
        <v>121.55968227162242</v>
      </c>
      <c r="DC26" s="8">
        <f t="shared" si="70"/>
        <v>0</v>
      </c>
      <c r="DD26" s="8">
        <f t="shared" si="71"/>
        <v>12.210125296333516</v>
      </c>
      <c r="DE26" s="86">
        <f t="shared" si="93"/>
        <v>322.72537820099041</v>
      </c>
      <c r="DF26" s="86">
        <f t="shared" si="94"/>
        <v>354.78308055785692</v>
      </c>
      <c r="DG26" s="87">
        <f t="shared" si="72"/>
        <v>0.13656724356795305</v>
      </c>
      <c r="DH26" s="88">
        <f t="shared" si="43"/>
        <v>0.66477728462737806</v>
      </c>
      <c r="DI26" s="7">
        <f t="shared" si="44"/>
        <v>0.80134452819533109</v>
      </c>
      <c r="DJ26" s="89">
        <f t="shared" si="45"/>
        <v>0.52821004105942504</v>
      </c>
    </row>
    <row r="27" spans="1:115" x14ac:dyDescent="0.3">
      <c r="A27" s="177">
        <v>37105</v>
      </c>
      <c r="B27" s="92" t="s">
        <v>83</v>
      </c>
      <c r="C27" s="7">
        <f t="shared" si="55"/>
        <v>0.69075742260889517</v>
      </c>
      <c r="D27" s="178">
        <f t="shared" si="73"/>
        <v>0.11273938471812586</v>
      </c>
      <c r="E27" s="178">
        <v>0.22</v>
      </c>
      <c r="F27" s="94">
        <v>0.16321125336927225</v>
      </c>
      <c r="G27" s="8">
        <v>1125.053570876368</v>
      </c>
      <c r="H27" s="8">
        <v>11.914582276911259</v>
      </c>
      <c r="I27" s="8"/>
      <c r="J27" s="8">
        <v>1.468932913422903</v>
      </c>
      <c r="K27" s="8">
        <v>243.2563053744405</v>
      </c>
      <c r="L27" s="8">
        <v>498.42023380532618</v>
      </c>
      <c r="M27" s="95">
        <v>91.417320413725221</v>
      </c>
      <c r="N27" s="96">
        <v>2588.4279777296351</v>
      </c>
      <c r="O27" s="71">
        <v>147.2842848801119</v>
      </c>
      <c r="P27" s="8">
        <v>0.56325693590865267</v>
      </c>
      <c r="Q27" s="95">
        <v>75.12888272450455</v>
      </c>
      <c r="R27" s="71">
        <v>0</v>
      </c>
      <c r="S27" s="8"/>
      <c r="T27" s="8"/>
      <c r="U27" s="8">
        <v>0</v>
      </c>
      <c r="V27" s="8">
        <v>1571.051121283637</v>
      </c>
      <c r="W27" s="8">
        <v>142.88179664502371</v>
      </c>
      <c r="X27" s="8">
        <v>0</v>
      </c>
      <c r="Y27" s="95">
        <v>55.025215385500523</v>
      </c>
      <c r="Z27" s="97">
        <v>8.171939302110836</v>
      </c>
      <c r="AA27" s="8"/>
      <c r="AB27" s="98">
        <f t="shared" si="74"/>
        <v>360.1908721975517</v>
      </c>
      <c r="AC27" s="71">
        <f t="shared" si="56"/>
        <v>6920.2562927441786</v>
      </c>
      <c r="AD27" s="8">
        <v>2530.2263706097929</v>
      </c>
      <c r="AE27" s="95">
        <f t="shared" si="75"/>
        <v>4390.0299221343857</v>
      </c>
      <c r="AF27" s="172" t="s">
        <v>84</v>
      </c>
      <c r="AG27" s="100">
        <v>22.1467712112699</v>
      </c>
      <c r="AH27" s="101">
        <v>0.71384067898997883</v>
      </c>
      <c r="AI27" s="101">
        <v>0</v>
      </c>
      <c r="AJ27" s="101">
        <v>3.325625103614803E-2</v>
      </c>
      <c r="AK27" s="101">
        <v>14.54236106822675</v>
      </c>
      <c r="AL27" s="101">
        <v>10.6881889259737</v>
      </c>
      <c r="AM27" s="98">
        <v>11.76181666194978</v>
      </c>
      <c r="AN27" s="101">
        <v>173.05673188220609</v>
      </c>
      <c r="AO27" s="100">
        <v>6.5312813791950957</v>
      </c>
      <c r="AP27" s="101">
        <v>5.234528802751557E-2</v>
      </c>
      <c r="AQ27" s="98">
        <v>2.2098238778196508</v>
      </c>
      <c r="AR27" s="100">
        <v>13.53400109019778</v>
      </c>
      <c r="AS27" s="101">
        <v>0</v>
      </c>
      <c r="AT27" s="101">
        <v>0</v>
      </c>
      <c r="AU27" s="101">
        <v>0.35805938091805678</v>
      </c>
      <c r="AV27" s="101">
        <v>75.397641774005336</v>
      </c>
      <c r="AW27" s="101">
        <v>7.9390980248564391</v>
      </c>
      <c r="AX27" s="101">
        <v>1.865427888367198</v>
      </c>
      <c r="AY27" s="98">
        <v>1.1099066211544899</v>
      </c>
      <c r="AZ27" s="100">
        <v>18.25032019335778</v>
      </c>
      <c r="BA27" s="98"/>
      <c r="BB27" s="102">
        <f t="shared" si="76"/>
        <v>360.1908721975517</v>
      </c>
      <c r="BC27" s="10">
        <f t="shared" si="77"/>
        <v>0</v>
      </c>
      <c r="BD27" s="71">
        <f t="shared" si="57"/>
        <v>37105</v>
      </c>
      <c r="BE27" s="8" t="str">
        <f t="shared" si="57"/>
        <v>Tochten FGIK</v>
      </c>
      <c r="BF27" s="7">
        <f t="shared" si="78"/>
        <v>0.16577425655325312</v>
      </c>
      <c r="BG27" s="7">
        <f t="shared" si="58"/>
        <v>1.8248490260602077E-3</v>
      </c>
      <c r="BH27" s="7">
        <f t="shared" si="58"/>
        <v>0</v>
      </c>
      <c r="BI27" s="7">
        <f t="shared" si="58"/>
        <v>2.1707131945880123E-4</v>
      </c>
      <c r="BJ27" s="7">
        <f t="shared" si="58"/>
        <v>3.7252762836683759E-2</v>
      </c>
      <c r="BK27" s="7">
        <f t="shared" si="58"/>
        <v>7.3567856621884808E-2</v>
      </c>
      <c r="BL27" s="7">
        <f t="shared" si="58"/>
        <v>1.4909727719746062E-2</v>
      </c>
      <c r="BM27" s="7">
        <f t="shared" si="58"/>
        <v>0.39904370485631158</v>
      </c>
      <c r="BN27" s="7">
        <f t="shared" si="58"/>
        <v>2.2226859779829414E-2</v>
      </c>
      <c r="BO27" s="7">
        <f t="shared" si="58"/>
        <v>8.8956564308408805E-5</v>
      </c>
      <c r="BP27" s="7">
        <f t="shared" si="58"/>
        <v>1.1175699761786725E-2</v>
      </c>
      <c r="BQ27" s="7">
        <f t="shared" si="58"/>
        <v>1.9557080717354427E-3</v>
      </c>
      <c r="BR27" s="7">
        <f t="shared" si="58"/>
        <v>0</v>
      </c>
      <c r="BS27" s="7">
        <f t="shared" si="58"/>
        <v>0</v>
      </c>
      <c r="BT27" s="7">
        <f t="shared" si="58"/>
        <v>5.1740768805554005E-5</v>
      </c>
      <c r="BU27" s="7">
        <f t="shared" si="58"/>
        <v>0.23791731019903523</v>
      </c>
      <c r="BV27" s="7">
        <f t="shared" si="58"/>
        <v>2.1794119796981273E-2</v>
      </c>
      <c r="BW27" s="7">
        <f t="shared" si="59"/>
        <v>2.6956052051469261E-4</v>
      </c>
      <c r="BX27" s="7">
        <f t="shared" si="59"/>
        <v>8.1117114210801904E-3</v>
      </c>
      <c r="BY27" s="7">
        <f t="shared" si="59"/>
        <v>3.8181041825245832E-3</v>
      </c>
      <c r="BZ27" s="72">
        <f t="shared" si="25"/>
        <v>0.99999999999999978</v>
      </c>
      <c r="CA27" s="73">
        <f t="shared" si="79"/>
        <v>0.69075742260889528</v>
      </c>
      <c r="CB27" s="74">
        <f t="shared" si="60"/>
        <v>0</v>
      </c>
      <c r="CC27" s="75">
        <f t="shared" si="80"/>
        <v>871.58841541410118</v>
      </c>
      <c r="CD27" s="76">
        <f t="shared" si="81"/>
        <v>2761.484709611841</v>
      </c>
      <c r="CE27" s="76">
        <f t="shared" si="82"/>
        <v>150.82089466988015</v>
      </c>
      <c r="CF27" s="76">
        <f t="shared" si="83"/>
        <v>987.86925783458537</v>
      </c>
      <c r="CG27" s="77">
        <f t="shared" si="84"/>
        <v>8.4551230385499565</v>
      </c>
      <c r="CH27" s="78">
        <f t="shared" si="85"/>
        <v>1159.8287650435391</v>
      </c>
      <c r="CI27" s="79">
        <f t="shared" si="86"/>
        <v>153.81556625930699</v>
      </c>
      <c r="CJ27" s="79">
        <f t="shared" si="87"/>
        <v>13.53400109019778</v>
      </c>
      <c r="CK27" s="79">
        <f t="shared" si="88"/>
        <v>658.57950522305691</v>
      </c>
      <c r="CL27" s="79">
        <f t="shared" si="89"/>
        <v>17.967136456918656</v>
      </c>
      <c r="CM27" s="80">
        <f t="shared" si="90"/>
        <v>136.31291810220065</v>
      </c>
      <c r="CN27" s="8">
        <f t="shared" si="91"/>
        <v>6920.2562927441786</v>
      </c>
      <c r="CO27" s="81">
        <f t="shared" si="61"/>
        <v>0</v>
      </c>
      <c r="CP27" s="173" t="str">
        <f t="shared" si="62"/>
        <v>Tochten FGIK</v>
      </c>
      <c r="CQ27" s="174">
        <f t="shared" si="63"/>
        <v>0.69075742260889528</v>
      </c>
      <c r="CR27" s="175">
        <f t="shared" si="64"/>
        <v>0.79184273855647547</v>
      </c>
      <c r="CS27" s="176">
        <f t="shared" si="65"/>
        <v>0.5993921596437306</v>
      </c>
      <c r="CT27" s="8">
        <f t="shared" si="66"/>
        <v>217.89710385352529</v>
      </c>
      <c r="CU27" s="8">
        <f t="shared" si="66"/>
        <v>828.44541288355242</v>
      </c>
      <c r="CV27" s="8">
        <f t="shared" si="66"/>
        <v>37.705223667470037</v>
      </c>
      <c r="CW27" s="8">
        <f t="shared" si="66"/>
        <v>246.96731445864634</v>
      </c>
      <c r="CX27" s="8">
        <f t="shared" si="66"/>
        <v>2.1137807596374891</v>
      </c>
      <c r="CY27" s="8">
        <f t="shared" si="92"/>
        <v>289.95719126088477</v>
      </c>
      <c r="CZ27" s="8">
        <f t="shared" si="67"/>
        <v>38.453891564826748</v>
      </c>
      <c r="DA27" s="8">
        <f t="shared" si="68"/>
        <v>1.3534001090197776</v>
      </c>
      <c r="DB27" s="8">
        <f t="shared" si="69"/>
        <v>164.64487630576423</v>
      </c>
      <c r="DC27" s="8">
        <f t="shared" si="70"/>
        <v>4.4917841142296639</v>
      </c>
      <c r="DD27" s="8">
        <f t="shared" si="71"/>
        <v>34.078229525550164</v>
      </c>
      <c r="DE27" s="86">
        <f t="shared" si="93"/>
        <v>892.3115803167542</v>
      </c>
      <c r="DF27" s="86">
        <f t="shared" si="94"/>
        <v>953.97332234475221</v>
      </c>
      <c r="DG27" s="87">
        <f t="shared" si="72"/>
        <v>0.16029148834045553</v>
      </c>
      <c r="DH27" s="88">
        <f t="shared" si="43"/>
        <v>0.69075742260889528</v>
      </c>
      <c r="DI27" s="7">
        <f t="shared" si="44"/>
        <v>0.85104891094935087</v>
      </c>
      <c r="DJ27" s="89">
        <f t="shared" si="45"/>
        <v>0.53046593426843969</v>
      </c>
    </row>
    <row r="28" spans="1:115" x14ac:dyDescent="0.3">
      <c r="A28" s="177">
        <v>37106</v>
      </c>
      <c r="B28" s="92" t="s">
        <v>85</v>
      </c>
      <c r="C28" s="7">
        <f t="shared" si="55"/>
        <v>0.4942918039820911</v>
      </c>
      <c r="D28" s="178">
        <f t="shared" si="73"/>
        <v>9.1542308978524972E-2</v>
      </c>
      <c r="E28" s="178">
        <v>0.22</v>
      </c>
      <c r="F28" s="94">
        <v>0.18519892144892144</v>
      </c>
      <c r="G28" s="8">
        <v>326.11695411751731</v>
      </c>
      <c r="H28" s="8">
        <v>7.5165174219638127</v>
      </c>
      <c r="I28" s="8"/>
      <c r="J28" s="8">
        <v>0.16202363292026631</v>
      </c>
      <c r="K28" s="8">
        <v>52.867626036916022</v>
      </c>
      <c r="L28" s="8">
        <v>209.96287310992349</v>
      </c>
      <c r="M28" s="95">
        <v>30.268084007629689</v>
      </c>
      <c r="N28" s="96">
        <v>87.811450843994251</v>
      </c>
      <c r="O28" s="71">
        <v>92.636501660932737</v>
      </c>
      <c r="P28" s="8">
        <v>0.488328449186335</v>
      </c>
      <c r="Q28" s="95">
        <v>42.34477048479571</v>
      </c>
      <c r="R28" s="71">
        <v>0</v>
      </c>
      <c r="S28" s="8"/>
      <c r="T28" s="8"/>
      <c r="U28" s="8">
        <v>0</v>
      </c>
      <c r="V28" s="8">
        <v>71.026436464611862</v>
      </c>
      <c r="W28" s="8">
        <v>18.361468469909848</v>
      </c>
      <c r="X28" s="8">
        <v>0</v>
      </c>
      <c r="Y28" s="95">
        <v>12.644700220370989</v>
      </c>
      <c r="Z28" s="97">
        <v>0</v>
      </c>
      <c r="AA28" s="8"/>
      <c r="AB28" s="98">
        <f t="shared" si="74"/>
        <v>113.20284554780194</v>
      </c>
      <c r="AC28" s="71">
        <f t="shared" si="56"/>
        <v>1065.4105804684743</v>
      </c>
      <c r="AD28" s="8">
        <v>466.89256077572531</v>
      </c>
      <c r="AE28" s="95">
        <f t="shared" si="75"/>
        <v>598.51801969274902</v>
      </c>
      <c r="AF28" s="172" t="s">
        <v>86</v>
      </c>
      <c r="AG28" s="100">
        <v>6.9604138092562531</v>
      </c>
      <c r="AH28" s="101">
        <v>0.22434992768256479</v>
      </c>
      <c r="AI28" s="101">
        <v>0</v>
      </c>
      <c r="AJ28" s="101">
        <v>1.045196461136081E-2</v>
      </c>
      <c r="AK28" s="101">
        <v>4.5704563357284043</v>
      </c>
      <c r="AL28" s="101">
        <v>3.3591450910203049</v>
      </c>
      <c r="AM28" s="98">
        <v>3.696570950898503</v>
      </c>
      <c r="AN28" s="101">
        <v>54.389258591550472</v>
      </c>
      <c r="AO28" s="100">
        <v>2.052688433461316</v>
      </c>
      <c r="AP28" s="101">
        <v>1.6451376237219179E-2</v>
      </c>
      <c r="AQ28" s="98">
        <v>0.69451607588617581</v>
      </c>
      <c r="AR28" s="100">
        <v>4.2535431997764421</v>
      </c>
      <c r="AS28" s="101">
        <v>0</v>
      </c>
      <c r="AT28" s="101">
        <v>0</v>
      </c>
      <c r="AU28" s="101">
        <v>0.11253294828853209</v>
      </c>
      <c r="AV28" s="101">
        <v>23.69640170040168</v>
      </c>
      <c r="AW28" s="101">
        <v>2.4951450935263089</v>
      </c>
      <c r="AX28" s="101">
        <v>0.58627733634397639</v>
      </c>
      <c r="AY28" s="98">
        <v>0.34882779521998258</v>
      </c>
      <c r="AZ28" s="100">
        <v>5.7358149179124442</v>
      </c>
      <c r="BA28" s="98"/>
      <c r="BB28" s="102">
        <f t="shared" si="76"/>
        <v>113.20284554780194</v>
      </c>
      <c r="BC28" s="10">
        <f t="shared" si="77"/>
        <v>0</v>
      </c>
      <c r="BD28" s="71">
        <f t="shared" si="57"/>
        <v>37106</v>
      </c>
      <c r="BE28" s="8" t="str">
        <f t="shared" si="57"/>
        <v>Tochten FGIK ZUID</v>
      </c>
      <c r="BF28" s="7">
        <f t="shared" si="78"/>
        <v>0.31262817737394277</v>
      </c>
      <c r="BG28" s="7">
        <f t="shared" si="58"/>
        <v>7.2656189937991989E-3</v>
      </c>
      <c r="BH28" s="7">
        <f t="shared" si="58"/>
        <v>0</v>
      </c>
      <c r="BI28" s="7">
        <f t="shared" si="58"/>
        <v>1.6188650713022527E-4</v>
      </c>
      <c r="BJ28" s="7">
        <f t="shared" si="58"/>
        <v>5.3911687593141959E-2</v>
      </c>
      <c r="BK28" s="7">
        <f t="shared" si="58"/>
        <v>0.20022517338540363</v>
      </c>
      <c r="BL28" s="7">
        <f t="shared" si="58"/>
        <v>3.1879404598735547E-2</v>
      </c>
      <c r="BM28" s="7">
        <f t="shared" si="58"/>
        <v>0.133470337203726</v>
      </c>
      <c r="BN28" s="7">
        <f t="shared" si="58"/>
        <v>8.8875774119643175E-2</v>
      </c>
      <c r="BO28" s="7">
        <f t="shared" si="58"/>
        <v>4.7378901118252096E-4</v>
      </c>
      <c r="BP28" s="7">
        <f t="shared" si="58"/>
        <v>4.0396901766976044E-2</v>
      </c>
      <c r="BQ28" s="7">
        <f t="shared" si="58"/>
        <v>3.992398121207043E-3</v>
      </c>
      <c r="BR28" s="7">
        <f t="shared" si="58"/>
        <v>0</v>
      </c>
      <c r="BS28" s="7">
        <f t="shared" si="58"/>
        <v>0</v>
      </c>
      <c r="BT28" s="7">
        <f t="shared" si="58"/>
        <v>1.0562401983942186E-4</v>
      </c>
      <c r="BU28" s="7">
        <f t="shared" si="58"/>
        <v>8.8907356376508595E-2</v>
      </c>
      <c r="BV28" s="7">
        <f t="shared" si="58"/>
        <v>1.9576127688036703E-2</v>
      </c>
      <c r="BW28" s="7">
        <f t="shared" si="59"/>
        <v>5.5028300553030261E-4</v>
      </c>
      <c r="BX28" s="7">
        <f t="shared" si="59"/>
        <v>1.2195794047659593E-2</v>
      </c>
      <c r="BY28" s="7">
        <f t="shared" si="59"/>
        <v>5.3836661875371417E-3</v>
      </c>
      <c r="BZ28" s="72">
        <f t="shared" si="25"/>
        <v>0.99999999999999989</v>
      </c>
      <c r="CA28" s="73">
        <f t="shared" si="79"/>
        <v>0.4942918039820911</v>
      </c>
      <c r="CB28" s="74">
        <f t="shared" si="60"/>
        <v>0</v>
      </c>
      <c r="CC28" s="75">
        <f t="shared" si="80"/>
        <v>304.89723112964805</v>
      </c>
      <c r="CD28" s="76">
        <f t="shared" si="81"/>
        <v>142.20070943554472</v>
      </c>
      <c r="CE28" s="76">
        <f t="shared" si="82"/>
        <v>20.856613563436156</v>
      </c>
      <c r="CF28" s="76">
        <f t="shared" si="83"/>
        <v>56.833702899008124</v>
      </c>
      <c r="CG28" s="77">
        <f t="shared" si="84"/>
        <v>1.8354607737319821</v>
      </c>
      <c r="CH28" s="78">
        <f t="shared" si="85"/>
        <v>340.81823527641995</v>
      </c>
      <c r="CI28" s="79">
        <f t="shared" si="86"/>
        <v>94.68919009439405</v>
      </c>
      <c r="CJ28" s="79">
        <f t="shared" si="87"/>
        <v>4.2535431997764421</v>
      </c>
      <c r="CK28" s="79">
        <f t="shared" si="88"/>
        <v>37.889135266005418</v>
      </c>
      <c r="CL28" s="79">
        <f t="shared" si="89"/>
        <v>3.9003541441804619</v>
      </c>
      <c r="CM28" s="80">
        <f t="shared" si="90"/>
        <v>57.236404686328925</v>
      </c>
      <c r="CN28" s="8">
        <f t="shared" si="91"/>
        <v>1065.4105804684741</v>
      </c>
      <c r="CO28" s="81">
        <f t="shared" si="61"/>
        <v>0</v>
      </c>
      <c r="CP28" s="173" t="str">
        <f t="shared" si="62"/>
        <v>Tochten FGIK ZUID</v>
      </c>
      <c r="CQ28" s="174">
        <f t="shared" si="63"/>
        <v>0.4942918039820911</v>
      </c>
      <c r="CR28" s="175">
        <f t="shared" si="64"/>
        <v>0.62179102587352997</v>
      </c>
      <c r="CS28" s="176">
        <f t="shared" si="65"/>
        <v>0.38222503929055424</v>
      </c>
      <c r="CT28" s="8">
        <f t="shared" si="66"/>
        <v>76.224307782412012</v>
      </c>
      <c r="CU28" s="8">
        <f t="shared" si="66"/>
        <v>42.660212830663426</v>
      </c>
      <c r="CV28" s="8">
        <f t="shared" si="66"/>
        <v>5.214153390859039</v>
      </c>
      <c r="CW28" s="8">
        <f t="shared" si="66"/>
        <v>14.208425724752031</v>
      </c>
      <c r="CX28" s="8">
        <f t="shared" si="66"/>
        <v>0.45886519343299553</v>
      </c>
      <c r="CY28" s="8">
        <f t="shared" si="92"/>
        <v>85.204558819104989</v>
      </c>
      <c r="CZ28" s="8">
        <f t="shared" si="67"/>
        <v>23.672297523598512</v>
      </c>
      <c r="DA28" s="8">
        <f t="shared" si="68"/>
        <v>0.42535431997764411</v>
      </c>
      <c r="DB28" s="8">
        <f t="shared" si="69"/>
        <v>9.4722838165013545</v>
      </c>
      <c r="DC28" s="8">
        <f t="shared" si="70"/>
        <v>0.97508853604511547</v>
      </c>
      <c r="DD28" s="8">
        <f t="shared" si="71"/>
        <v>14.309101171582231</v>
      </c>
      <c r="DE28" s="86">
        <f t="shared" si="93"/>
        <v>88.652784333546592</v>
      </c>
      <c r="DF28" s="86">
        <f t="shared" si="94"/>
        <v>126.39270922281867</v>
      </c>
      <c r="DG28" s="87">
        <f t="shared" si="72"/>
        <v>0.10179617556684672</v>
      </c>
      <c r="DH28" s="88">
        <f t="shared" si="43"/>
        <v>0.4942918039820911</v>
      </c>
      <c r="DI28" s="7">
        <f t="shared" si="44"/>
        <v>0.59608797954893777</v>
      </c>
      <c r="DJ28" s="89">
        <f t="shared" si="45"/>
        <v>0.39249562841524438</v>
      </c>
    </row>
    <row r="29" spans="1:115" x14ac:dyDescent="0.3">
      <c r="A29" s="177">
        <v>37107</v>
      </c>
      <c r="B29" s="92" t="s">
        <v>87</v>
      </c>
      <c r="C29" s="7">
        <f t="shared" si="55"/>
        <v>0.70435559631909506</v>
      </c>
      <c r="D29" s="178">
        <f t="shared" si="73"/>
        <v>4.5880940926896617E-2</v>
      </c>
      <c r="E29" s="178">
        <v>0.22</v>
      </c>
      <c r="F29" s="94">
        <v>6.5138888888888899E-2</v>
      </c>
      <c r="G29" s="8">
        <v>716.94511369327586</v>
      </c>
      <c r="H29" s="8">
        <v>4.9963265877403513</v>
      </c>
      <c r="I29" s="8"/>
      <c r="J29" s="8">
        <v>0.77288412826899333</v>
      </c>
      <c r="K29" s="8">
        <v>34.280360772889097</v>
      </c>
      <c r="L29" s="8">
        <v>343.2208178191874</v>
      </c>
      <c r="M29" s="95">
        <v>6.1201050950485127</v>
      </c>
      <c r="N29" s="96">
        <v>1441.0128046396851</v>
      </c>
      <c r="O29" s="71">
        <v>61.360268397009293</v>
      </c>
      <c r="P29" s="8">
        <v>2.5734900829848111</v>
      </c>
      <c r="Q29" s="95">
        <v>52.529852890620042</v>
      </c>
      <c r="R29" s="71">
        <v>0</v>
      </c>
      <c r="S29" s="8"/>
      <c r="T29" s="8"/>
      <c r="U29" s="8">
        <v>7.0523975946306638</v>
      </c>
      <c r="V29" s="8">
        <v>61.266900054359162</v>
      </c>
      <c r="W29" s="8">
        <v>0</v>
      </c>
      <c r="X29" s="8">
        <v>0</v>
      </c>
      <c r="Y29" s="95">
        <v>32.202986485854531</v>
      </c>
      <c r="Z29" s="97">
        <v>0</v>
      </c>
      <c r="AA29" s="8"/>
      <c r="AB29" s="98">
        <f t="shared" si="74"/>
        <v>1986.1953809750705</v>
      </c>
      <c r="AC29" s="71">
        <f t="shared" si="56"/>
        <v>4750.5296892166243</v>
      </c>
      <c r="AD29" s="8">
        <v>1347.102388923885</v>
      </c>
      <c r="AE29" s="95">
        <f t="shared" si="75"/>
        <v>3403.4273002927393</v>
      </c>
      <c r="AF29" s="172" t="s">
        <v>88</v>
      </c>
      <c r="AG29" s="100">
        <v>122.1236241078597</v>
      </c>
      <c r="AH29" s="101">
        <v>3.936321458430454</v>
      </c>
      <c r="AI29" s="101">
        <v>0</v>
      </c>
      <c r="AJ29" s="101">
        <v>0.1833844699993305</v>
      </c>
      <c r="AK29" s="101">
        <v>80.190733890507474</v>
      </c>
      <c r="AL29" s="101">
        <v>58.93772750608354</v>
      </c>
      <c r="AM29" s="98">
        <v>64.85801759303736</v>
      </c>
      <c r="AN29" s="101">
        <v>954.28426437902203</v>
      </c>
      <c r="AO29" s="100">
        <v>36.015351605275811</v>
      </c>
      <c r="AP29" s="101">
        <v>0.28864687398030009</v>
      </c>
      <c r="AQ29" s="98">
        <v>12.185600240548361</v>
      </c>
      <c r="AR29" s="100">
        <v>74.630348868804859</v>
      </c>
      <c r="AS29" s="101">
        <v>0</v>
      </c>
      <c r="AT29" s="101">
        <v>0</v>
      </c>
      <c r="AU29" s="101">
        <v>1.974441729062427</v>
      </c>
      <c r="AV29" s="101">
        <v>415.76413892522942</v>
      </c>
      <c r="AW29" s="101">
        <v>43.778454822779793</v>
      </c>
      <c r="AX29" s="101">
        <v>10.286502355853401</v>
      </c>
      <c r="AY29" s="98">
        <v>6.1203422252233324</v>
      </c>
      <c r="AZ29" s="100">
        <v>100.63747992337289</v>
      </c>
      <c r="BA29" s="98"/>
      <c r="BB29" s="102">
        <f t="shared" si="76"/>
        <v>1986.1953809750705</v>
      </c>
      <c r="BC29" s="10">
        <f t="shared" si="77"/>
        <v>0</v>
      </c>
      <c r="BD29" s="71">
        <f t="shared" si="57"/>
        <v>37107</v>
      </c>
      <c r="BE29" s="8" t="str">
        <f t="shared" si="57"/>
        <v>Tochten H</v>
      </c>
      <c r="BF29" s="7">
        <f t="shared" si="78"/>
        <v>0.17662635383708133</v>
      </c>
      <c r="BG29" s="7">
        <f t="shared" si="58"/>
        <v>1.8803477992038026E-3</v>
      </c>
      <c r="BH29" s="7">
        <f t="shared" si="58"/>
        <v>0</v>
      </c>
      <c r="BI29" s="7">
        <f t="shared" si="58"/>
        <v>2.012972575329837E-4</v>
      </c>
      <c r="BJ29" s="7">
        <f t="shared" si="58"/>
        <v>2.4096490739388091E-2</v>
      </c>
      <c r="BK29" s="7">
        <f t="shared" si="58"/>
        <v>8.4655516675991568E-2</v>
      </c>
      <c r="BL29" s="7">
        <f t="shared" si="58"/>
        <v>1.49410965369191E-2</v>
      </c>
      <c r="BM29" s="7">
        <f t="shared" si="58"/>
        <v>0.50421684016750101</v>
      </c>
      <c r="BN29" s="7">
        <f t="shared" si="58"/>
        <v>2.0497844739992062E-2</v>
      </c>
      <c r="BO29" s="7">
        <f t="shared" si="58"/>
        <v>6.0248796328164528E-4</v>
      </c>
      <c r="BP29" s="7">
        <f t="shared" si="58"/>
        <v>1.362278679745293E-2</v>
      </c>
      <c r="BQ29" s="7">
        <f t="shared" si="58"/>
        <v>1.5709900527137135E-2</v>
      </c>
      <c r="BR29" s="7">
        <f t="shared" si="58"/>
        <v>0</v>
      </c>
      <c r="BS29" s="7">
        <f t="shared" si="58"/>
        <v>0</v>
      </c>
      <c r="BT29" s="7">
        <f t="shared" si="58"/>
        <v>1.9001753308022461E-3</v>
      </c>
      <c r="BU29" s="7">
        <f t="shared" si="58"/>
        <v>0.10041638936862476</v>
      </c>
      <c r="BV29" s="7">
        <f t="shared" si="58"/>
        <v>9.215489153168303E-3</v>
      </c>
      <c r="BW29" s="7">
        <f t="shared" si="59"/>
        <v>2.1653379788790822E-3</v>
      </c>
      <c r="BX29" s="7">
        <f t="shared" si="59"/>
        <v>8.0671696038589515E-3</v>
      </c>
      <c r="BY29" s="7">
        <f t="shared" si="59"/>
        <v>2.1184475523184931E-2</v>
      </c>
      <c r="BZ29" s="72">
        <f t="shared" si="25"/>
        <v>0.99999999999999989</v>
      </c>
      <c r="CA29" s="73">
        <f t="shared" si="79"/>
        <v>0.70435559631909506</v>
      </c>
      <c r="CB29" s="74">
        <f t="shared" si="60"/>
        <v>0</v>
      </c>
      <c r="CC29" s="75">
        <f t="shared" si="80"/>
        <v>588.56403127502176</v>
      </c>
      <c r="CD29" s="76">
        <f t="shared" si="81"/>
        <v>2395.2970690187071</v>
      </c>
      <c r="CE29" s="76">
        <f t="shared" si="82"/>
        <v>43.778454822779793</v>
      </c>
      <c r="CF29" s="76">
        <f t="shared" si="83"/>
        <v>286.21862338775315</v>
      </c>
      <c r="CG29" s="77">
        <f t="shared" si="84"/>
        <v>32.203993575479323</v>
      </c>
      <c r="CH29" s="78">
        <f t="shared" si="85"/>
        <v>848.00138584730632</v>
      </c>
      <c r="CI29" s="79">
        <f t="shared" si="86"/>
        <v>97.375620002285103</v>
      </c>
      <c r="CJ29" s="79">
        <f t="shared" si="87"/>
        <v>74.630348868804859</v>
      </c>
      <c r="CK29" s="79">
        <f t="shared" si="88"/>
        <v>190.81241559183545</v>
      </c>
      <c r="CL29" s="79">
        <f t="shared" si="89"/>
        <v>68.433486347893563</v>
      </c>
      <c r="CM29" s="80">
        <f t="shared" si="90"/>
        <v>125.21426047875786</v>
      </c>
      <c r="CN29" s="8">
        <f t="shared" si="91"/>
        <v>4750.5296892166243</v>
      </c>
      <c r="CO29" s="81">
        <f t="shared" si="61"/>
        <v>0</v>
      </c>
      <c r="CP29" s="173" t="str">
        <f t="shared" si="62"/>
        <v>Tochten H</v>
      </c>
      <c r="CQ29" s="174">
        <f t="shared" si="63"/>
        <v>0.70435559631909506</v>
      </c>
      <c r="CR29" s="175">
        <f t="shared" si="64"/>
        <v>0.80164571385890526</v>
      </c>
      <c r="CS29" s="176">
        <f t="shared" si="65"/>
        <v>0.62187242923187125</v>
      </c>
      <c r="CT29" s="8">
        <f t="shared" si="66"/>
        <v>147.14100781875544</v>
      </c>
      <c r="CU29" s="8">
        <f t="shared" si="66"/>
        <v>718.58912070561223</v>
      </c>
      <c r="CV29" s="8">
        <f t="shared" si="66"/>
        <v>10.944613705694948</v>
      </c>
      <c r="CW29" s="8">
        <f t="shared" si="66"/>
        <v>71.554655846938289</v>
      </c>
      <c r="CX29" s="8">
        <f t="shared" si="66"/>
        <v>8.0509983938698308</v>
      </c>
      <c r="CY29" s="8">
        <f t="shared" si="92"/>
        <v>212.00034646182658</v>
      </c>
      <c r="CZ29" s="8">
        <f t="shared" si="67"/>
        <v>24.343905000571276</v>
      </c>
      <c r="DA29" s="8">
        <f t="shared" si="68"/>
        <v>7.4630348868804841</v>
      </c>
      <c r="DB29" s="8">
        <f t="shared" si="69"/>
        <v>47.703103897958862</v>
      </c>
      <c r="DC29" s="8">
        <f t="shared" si="70"/>
        <v>17.108371586973391</v>
      </c>
      <c r="DD29" s="8">
        <f t="shared" si="71"/>
        <v>31.303565119689466</v>
      </c>
      <c r="DE29" s="86">
        <f t="shared" si="93"/>
        <v>737.10614737367564</v>
      </c>
      <c r="DF29" s="86">
        <f t="shared" si="94"/>
        <v>769.71821966577943</v>
      </c>
      <c r="DG29" s="87">
        <f t="shared" si="72"/>
        <v>0.19261388247861846</v>
      </c>
      <c r="DH29" s="88">
        <f t="shared" si="43"/>
        <v>0.70435559631909506</v>
      </c>
      <c r="DI29" s="7">
        <f t="shared" si="44"/>
        <v>0.89696947879771349</v>
      </c>
      <c r="DJ29" s="89">
        <f t="shared" si="45"/>
        <v>0.51174171384047662</v>
      </c>
    </row>
    <row r="30" spans="1:115" x14ac:dyDescent="0.3">
      <c r="A30" s="177">
        <v>37108</v>
      </c>
      <c r="B30" s="92" t="s">
        <v>89</v>
      </c>
      <c r="C30" s="7">
        <f t="shared" si="55"/>
        <v>0.68632475978467389</v>
      </c>
      <c r="D30" s="178">
        <f t="shared" si="73"/>
        <v>0.18310767632380218</v>
      </c>
      <c r="E30" s="178">
        <v>0.27</v>
      </c>
      <c r="F30" s="94">
        <v>0.26679450757575757</v>
      </c>
      <c r="G30" s="8">
        <v>721.50841491571418</v>
      </c>
      <c r="H30" s="8">
        <v>11.15907742112217</v>
      </c>
      <c r="I30" s="8"/>
      <c r="J30" s="8">
        <v>0.70353544048289152</v>
      </c>
      <c r="K30" s="8">
        <v>540.56490653012077</v>
      </c>
      <c r="L30" s="8">
        <v>171.6880873578296</v>
      </c>
      <c r="M30" s="95">
        <v>106.3065154299627</v>
      </c>
      <c r="N30" s="96">
        <v>1647.8962400406799</v>
      </c>
      <c r="O30" s="71">
        <v>117.046081945876</v>
      </c>
      <c r="P30" s="8">
        <v>1.1223862927083921</v>
      </c>
      <c r="Q30" s="95">
        <v>68.530399800698589</v>
      </c>
      <c r="R30" s="71">
        <v>0</v>
      </c>
      <c r="S30" s="8"/>
      <c r="T30" s="8"/>
      <c r="U30" s="8">
        <v>18.217883778063921</v>
      </c>
      <c r="V30" s="8">
        <v>1010.240596924289</v>
      </c>
      <c r="W30" s="8">
        <v>27.93637359314847</v>
      </c>
      <c r="X30" s="8">
        <v>0.5006765192580771</v>
      </c>
      <c r="Y30" s="95">
        <v>53.249690301325231</v>
      </c>
      <c r="Z30" s="97">
        <v>41.120519447138889</v>
      </c>
      <c r="AA30" s="8"/>
      <c r="AB30" s="98">
        <f t="shared" si="74"/>
        <v>0</v>
      </c>
      <c r="AC30" s="71">
        <f t="shared" si="56"/>
        <v>4537.7913857384183</v>
      </c>
      <c r="AD30" s="8">
        <v>1753.6595499891421</v>
      </c>
      <c r="AE30" s="95">
        <f t="shared" si="75"/>
        <v>2784.1318357492764</v>
      </c>
      <c r="AF30" s="172" t="s">
        <v>90</v>
      </c>
      <c r="AG30" s="100">
        <v>0</v>
      </c>
      <c r="AH30" s="101">
        <v>0</v>
      </c>
      <c r="AI30" s="101">
        <v>0</v>
      </c>
      <c r="AJ30" s="101">
        <v>0</v>
      </c>
      <c r="AK30" s="101">
        <v>0</v>
      </c>
      <c r="AL30" s="101">
        <v>0</v>
      </c>
      <c r="AM30" s="98">
        <v>0</v>
      </c>
      <c r="AN30" s="101">
        <v>0</v>
      </c>
      <c r="AO30" s="100">
        <v>0</v>
      </c>
      <c r="AP30" s="101">
        <v>0</v>
      </c>
      <c r="AQ30" s="98">
        <v>0</v>
      </c>
      <c r="AR30" s="100">
        <v>0</v>
      </c>
      <c r="AS30" s="101">
        <v>0</v>
      </c>
      <c r="AT30" s="101">
        <v>0</v>
      </c>
      <c r="AU30" s="101">
        <v>0</v>
      </c>
      <c r="AV30" s="101">
        <v>0</v>
      </c>
      <c r="AW30" s="101">
        <v>0</v>
      </c>
      <c r="AX30" s="101">
        <v>0</v>
      </c>
      <c r="AY30" s="98">
        <v>0</v>
      </c>
      <c r="AZ30" s="100">
        <v>0</v>
      </c>
      <c r="BA30" s="98"/>
      <c r="BB30" s="102">
        <f t="shared" si="76"/>
        <v>0</v>
      </c>
      <c r="BC30" s="10">
        <f t="shared" si="77"/>
        <v>0</v>
      </c>
      <c r="BD30" s="71">
        <f t="shared" si="57"/>
        <v>37108</v>
      </c>
      <c r="BE30" s="8" t="str">
        <f t="shared" si="57"/>
        <v>Tochten  J</v>
      </c>
      <c r="BF30" s="7">
        <f t="shared" si="78"/>
        <v>0.15899990845399029</v>
      </c>
      <c r="BG30" s="7">
        <f t="shared" si="58"/>
        <v>2.4591428896871366E-3</v>
      </c>
      <c r="BH30" s="7">
        <f t="shared" si="58"/>
        <v>0</v>
      </c>
      <c r="BI30" s="7">
        <f t="shared" si="58"/>
        <v>1.5503917670036473E-4</v>
      </c>
      <c r="BJ30" s="7">
        <f t="shared" si="58"/>
        <v>0.11912511188351084</v>
      </c>
      <c r="BK30" s="7">
        <f t="shared" si="58"/>
        <v>3.7835165339997541E-2</v>
      </c>
      <c r="BL30" s="7">
        <f t="shared" si="58"/>
        <v>2.3426928739841976E-2</v>
      </c>
      <c r="BM30" s="7">
        <f t="shared" si="58"/>
        <v>0.36314940462440931</v>
      </c>
      <c r="BN30" s="7">
        <f t="shared" si="58"/>
        <v>2.579362337231585E-2</v>
      </c>
      <c r="BO30" s="7">
        <f t="shared" si="58"/>
        <v>2.4734197703223641E-4</v>
      </c>
      <c r="BP30" s="7">
        <f t="shared" si="58"/>
        <v>1.5102148595036589E-2</v>
      </c>
      <c r="BQ30" s="7">
        <f t="shared" si="58"/>
        <v>0</v>
      </c>
      <c r="BR30" s="7">
        <f t="shared" si="58"/>
        <v>0</v>
      </c>
      <c r="BS30" s="7">
        <f t="shared" si="58"/>
        <v>0</v>
      </c>
      <c r="BT30" s="7">
        <f t="shared" si="58"/>
        <v>4.0147027991017685E-3</v>
      </c>
      <c r="BU30" s="7">
        <f t="shared" si="58"/>
        <v>0.22262825922304849</v>
      </c>
      <c r="BV30" s="7">
        <f t="shared" si="58"/>
        <v>6.1563812036287526E-3</v>
      </c>
      <c r="BW30" s="7">
        <f t="shared" si="59"/>
        <v>1.1033484721920591E-4</v>
      </c>
      <c r="BX30" s="7">
        <f t="shared" si="59"/>
        <v>1.1734715365867376E-2</v>
      </c>
      <c r="BY30" s="7">
        <f t="shared" si="59"/>
        <v>9.0617915086123983E-3</v>
      </c>
      <c r="BZ30" s="72">
        <f t="shared" si="25"/>
        <v>1</v>
      </c>
      <c r="CA30" s="73">
        <f t="shared" si="79"/>
        <v>0.68632475978467378</v>
      </c>
      <c r="CB30" s="74">
        <f t="shared" si="60"/>
        <v>0</v>
      </c>
      <c r="CC30" s="75">
        <f t="shared" si="80"/>
        <v>819.26304475839606</v>
      </c>
      <c r="CD30" s="76">
        <f t="shared" si="81"/>
        <v>1647.8962400406799</v>
      </c>
      <c r="CE30" s="76">
        <f t="shared" si="82"/>
        <v>27.93637359314847</v>
      </c>
      <c r="CF30" s="76">
        <f t="shared" si="83"/>
        <v>606.14435815457341</v>
      </c>
      <c r="CG30" s="77">
        <f t="shared" si="84"/>
        <v>13.158566223084446</v>
      </c>
      <c r="CH30" s="78">
        <f t="shared" si="85"/>
        <v>732.6674923368364</v>
      </c>
      <c r="CI30" s="79">
        <f t="shared" si="86"/>
        <v>117.046081945876</v>
      </c>
      <c r="CJ30" s="79">
        <f t="shared" si="87"/>
        <v>0</v>
      </c>
      <c r="CK30" s="79">
        <f t="shared" si="88"/>
        <v>404.09623876971563</v>
      </c>
      <c r="CL30" s="79">
        <f t="shared" si="89"/>
        <v>27.961953224054444</v>
      </c>
      <c r="CM30" s="80">
        <f t="shared" si="90"/>
        <v>141.62103669205422</v>
      </c>
      <c r="CN30" s="8">
        <f t="shared" si="91"/>
        <v>4537.7913857384183</v>
      </c>
      <c r="CO30" s="81">
        <f t="shared" si="61"/>
        <v>0</v>
      </c>
      <c r="CP30" s="173" t="str">
        <f t="shared" si="62"/>
        <v>Tochten  J</v>
      </c>
      <c r="CQ30" s="174">
        <f t="shared" si="63"/>
        <v>0.68632475978467378</v>
      </c>
      <c r="CR30" s="175">
        <f t="shared" si="64"/>
        <v>0.78830898221125201</v>
      </c>
      <c r="CS30" s="176">
        <f t="shared" si="65"/>
        <v>0.59212528975452616</v>
      </c>
      <c r="CT30" s="8">
        <f t="shared" si="66"/>
        <v>204.81576118959902</v>
      </c>
      <c r="CU30" s="8">
        <f t="shared" si="66"/>
        <v>494.36887201220406</v>
      </c>
      <c r="CV30" s="8">
        <f t="shared" si="66"/>
        <v>6.9840933982871176</v>
      </c>
      <c r="CW30" s="8">
        <f t="shared" si="66"/>
        <v>151.53608953864335</v>
      </c>
      <c r="CX30" s="8">
        <f t="shared" si="66"/>
        <v>3.2896415557711114</v>
      </c>
      <c r="CY30" s="8">
        <f t="shared" si="92"/>
        <v>183.1668730842091</v>
      </c>
      <c r="CZ30" s="8">
        <f t="shared" si="67"/>
        <v>29.261520486468999</v>
      </c>
      <c r="DA30" s="8">
        <f t="shared" si="68"/>
        <v>0</v>
      </c>
      <c r="DB30" s="8">
        <f t="shared" si="69"/>
        <v>101.02405969242891</v>
      </c>
      <c r="DC30" s="8">
        <f t="shared" si="70"/>
        <v>6.9904883060136109</v>
      </c>
      <c r="DD30" s="8">
        <f t="shared" si="71"/>
        <v>35.405259173013555</v>
      </c>
      <c r="DE30" s="86">
        <f t="shared" si="93"/>
        <v>556.21296585131768</v>
      </c>
      <c r="DF30" s="86">
        <f t="shared" si="94"/>
        <v>596.0599494164577</v>
      </c>
      <c r="DG30" s="87">
        <f t="shared" si="72"/>
        <v>0.15215661348197737</v>
      </c>
      <c r="DH30" s="88">
        <f t="shared" si="43"/>
        <v>0.68632475978467378</v>
      </c>
      <c r="DI30" s="7">
        <f t="shared" si="44"/>
        <v>0.83848137326665118</v>
      </c>
      <c r="DJ30" s="89">
        <f t="shared" si="45"/>
        <v>0.53416814630269638</v>
      </c>
    </row>
    <row r="31" spans="1:115" x14ac:dyDescent="0.3">
      <c r="A31" s="177">
        <v>37109</v>
      </c>
      <c r="B31" s="92" t="s">
        <v>91</v>
      </c>
      <c r="C31" s="7">
        <f>(SUMPRODUCT(G31:AA31,$G$38:$AA$38)+SUMPRODUCT(AG31:BA31,$AG$38:$BA$38))/AC31</f>
        <v>0.55294119767581684</v>
      </c>
      <c r="D31" s="178">
        <f t="shared" si="73"/>
        <v>5.9305283942573346E-2</v>
      </c>
      <c r="E31" s="178">
        <v>0.22</v>
      </c>
      <c r="F31" s="94">
        <v>0.10725423280423275</v>
      </c>
      <c r="G31" s="8">
        <v>3149.2244282292399</v>
      </c>
      <c r="H31" s="8">
        <v>246.41055618978919</v>
      </c>
      <c r="I31" s="8"/>
      <c r="J31" s="8">
        <v>2.6875684767246231</v>
      </c>
      <c r="K31" s="8">
        <v>2457.0899907520188</v>
      </c>
      <c r="L31" s="8">
        <v>1060.960033583988</v>
      </c>
      <c r="M31" s="95">
        <v>159.00204197273121</v>
      </c>
      <c r="N31" s="96">
        <v>3807.9524716645328</v>
      </c>
      <c r="O31" s="71">
        <v>408.03809087247402</v>
      </c>
      <c r="P31" s="8">
        <v>341.61858613915427</v>
      </c>
      <c r="Q31" s="95">
        <v>235.76191829150849</v>
      </c>
      <c r="R31" s="71">
        <v>0</v>
      </c>
      <c r="S31" s="8"/>
      <c r="T31" s="8"/>
      <c r="U31" s="8">
        <v>92.582698334390329</v>
      </c>
      <c r="V31" s="8">
        <v>368.8437593431039</v>
      </c>
      <c r="W31" s="8">
        <v>40.020779565802357</v>
      </c>
      <c r="X31" s="8">
        <v>0.177401708566294</v>
      </c>
      <c r="Y31" s="95">
        <v>111.116149766509</v>
      </c>
      <c r="Z31" s="290">
        <v>2319.3571746603079</v>
      </c>
      <c r="AA31" s="8"/>
      <c r="AB31" s="98">
        <f t="shared" si="74"/>
        <v>1040.9104961184323</v>
      </c>
      <c r="AC31" s="71">
        <f t="shared" si="56"/>
        <v>15841.754145669276</v>
      </c>
      <c r="AD31" s="8">
        <v>5758.3515757193454</v>
      </c>
      <c r="AE31" s="95">
        <f t="shared" si="75"/>
        <v>10083.402569949931</v>
      </c>
      <c r="AF31" s="172" t="s">
        <v>92</v>
      </c>
      <c r="AG31" s="100">
        <v>100.83781219569489</v>
      </c>
      <c r="AH31" s="101">
        <v>8.5882331351076608</v>
      </c>
      <c r="AI31" s="101">
        <v>0</v>
      </c>
      <c r="AJ31" s="101">
        <v>4.2027542518994778</v>
      </c>
      <c r="AK31" s="101">
        <v>40.295982913519211</v>
      </c>
      <c r="AL31" s="101">
        <v>71.992680601062773</v>
      </c>
      <c r="AM31" s="98">
        <v>25.827104811808891</v>
      </c>
      <c r="AN31" s="101">
        <v>52.812665523844153</v>
      </c>
      <c r="AO31" s="100">
        <v>123.2587725530945</v>
      </c>
      <c r="AP31" s="101">
        <v>4.0235666828942014</v>
      </c>
      <c r="AQ31" s="98">
        <v>14.69547118243741</v>
      </c>
      <c r="AR31" s="100">
        <v>404.32935736594118</v>
      </c>
      <c r="AS31" s="101">
        <v>4.7302594527573197E-2</v>
      </c>
      <c r="AT31" s="101">
        <v>0</v>
      </c>
      <c r="AU31" s="101">
        <v>8.1743325533318032</v>
      </c>
      <c r="AV31" s="101">
        <v>26.116247770034501</v>
      </c>
      <c r="AW31" s="101">
        <v>21.908420281764421</v>
      </c>
      <c r="AX31" s="101">
        <v>17.133991548378081</v>
      </c>
      <c r="AY31" s="98">
        <v>5.3041875489403196</v>
      </c>
      <c r="AZ31" s="100">
        <v>111.3616126041514</v>
      </c>
      <c r="BA31" s="98"/>
      <c r="BB31" s="102">
        <f t="shared" si="76"/>
        <v>1040.9104961184323</v>
      </c>
      <c r="BC31" s="10">
        <f t="shared" si="77"/>
        <v>0</v>
      </c>
      <c r="BD31" s="71">
        <f t="shared" si="57"/>
        <v>37109</v>
      </c>
      <c r="BE31" s="8" t="str">
        <f t="shared" si="57"/>
        <v>Tochten lage afdeling NOP</v>
      </c>
      <c r="BF31" s="7">
        <f t="shared" si="78"/>
        <v>0.20515797749035369</v>
      </c>
      <c r="BG31" s="7">
        <f t="shared" si="58"/>
        <v>1.6096625852169717E-2</v>
      </c>
      <c r="BH31" s="7">
        <f t="shared" si="58"/>
        <v>0</v>
      </c>
      <c r="BI31" s="7">
        <f t="shared" si="58"/>
        <v>4.3494695506985482E-4</v>
      </c>
      <c r="BJ31" s="7">
        <f t="shared" si="58"/>
        <v>0.15764579797801359</v>
      </c>
      <c r="BK31" s="7">
        <f t="shared" si="58"/>
        <v>7.1516872675035842E-2</v>
      </c>
      <c r="BL31" s="7">
        <f t="shared" si="58"/>
        <v>1.1667214696364139E-2</v>
      </c>
      <c r="BM31" s="7">
        <f t="shared" si="58"/>
        <v>0.24370818418765891</v>
      </c>
      <c r="BN31" s="7">
        <f t="shared" si="58"/>
        <v>3.3537754628695036E-2</v>
      </c>
      <c r="BO31" s="7">
        <f t="shared" si="58"/>
        <v>2.1818426775455171E-2</v>
      </c>
      <c r="BP31" s="7">
        <f t="shared" si="58"/>
        <v>1.5809953062705145E-2</v>
      </c>
      <c r="BQ31" s="7">
        <f t="shared" si="58"/>
        <v>2.5523016810387399E-2</v>
      </c>
      <c r="BR31" s="7">
        <f t="shared" si="58"/>
        <v>2.9859442390415141E-6</v>
      </c>
      <c r="BS31" s="7">
        <f t="shared" si="58"/>
        <v>0</v>
      </c>
      <c r="BT31" s="7">
        <f t="shared" si="58"/>
        <v>6.3602193268014135E-3</v>
      </c>
      <c r="BU31" s="7">
        <f t="shared" si="58"/>
        <v>2.493158292202825E-2</v>
      </c>
      <c r="BV31" s="7">
        <f t="shared" si="58"/>
        <v>3.9092387925043397E-3</v>
      </c>
      <c r="BW31" s="7">
        <f t="shared" si="59"/>
        <v>1.0927699734361084E-3</v>
      </c>
      <c r="BX31" s="7">
        <f t="shared" si="59"/>
        <v>7.3489549354782543E-3</v>
      </c>
      <c r="BY31" s="7">
        <f t="shared" si="59"/>
        <v>0.15343747699360394</v>
      </c>
      <c r="BZ31" s="72">
        <f t="shared" si="25"/>
        <v>1</v>
      </c>
      <c r="CA31" s="73">
        <f>SUMPRODUCT(BF31:BY31,$BF$38:$BY$38)</f>
        <v>0.55294119767581684</v>
      </c>
      <c r="CB31" s="74">
        <f t="shared" si="60"/>
        <v>0</v>
      </c>
      <c r="CC31" s="75">
        <f t="shared" si="80"/>
        <v>3822.0581573637528</v>
      </c>
      <c r="CD31" s="76">
        <f t="shared" si="81"/>
        <v>3860.7651371883771</v>
      </c>
      <c r="CE31" s="76">
        <f t="shared" si="82"/>
        <v>61.929199847566778</v>
      </c>
      <c r="CF31" s="76">
        <f t="shared" si="83"/>
        <v>236.97600426788301</v>
      </c>
      <c r="CG31" s="77">
        <f t="shared" si="84"/>
        <v>777.830011924627</v>
      </c>
      <c r="CH31" s="78">
        <f t="shared" si="85"/>
        <v>3505.0610297498315</v>
      </c>
      <c r="CI31" s="79">
        <f t="shared" si="86"/>
        <v>531.29686342556852</v>
      </c>
      <c r="CJ31" s="79">
        <f t="shared" si="87"/>
        <v>404.32935736594118</v>
      </c>
      <c r="CK31" s="79">
        <f t="shared" si="88"/>
        <v>157.98400284525536</v>
      </c>
      <c r="CL31" s="79">
        <f t="shared" si="89"/>
        <v>1652.8887753398324</v>
      </c>
      <c r="CM31" s="80">
        <f t="shared" si="90"/>
        <v>830.63560635063777</v>
      </c>
      <c r="CN31" s="8">
        <f t="shared" si="91"/>
        <v>15841.754145669272</v>
      </c>
      <c r="CO31" s="81">
        <f t="shared" si="61"/>
        <v>0</v>
      </c>
      <c r="CP31" s="179" t="str">
        <f t="shared" si="62"/>
        <v>Tochten lage afdeling NOP</v>
      </c>
      <c r="CQ31" s="174">
        <f t="shared" si="63"/>
        <v>0.55294119767581684</v>
      </c>
      <c r="CR31" s="175">
        <f>SUMPRODUCT(CC31:CG31,$CC$19:$CG$19)/SUMPRODUCT(CC31:CM31,$CC$19:$CM$19)</f>
        <v>0.6669109024523765</v>
      </c>
      <c r="CS31" s="176">
        <f>SUMPRODUCT(CC31:CG31,$CC$20:$CG$20)/SUMPRODUCT(CC31:CM31,$CC$20:$CM$20)</f>
        <v>0.43476651249237236</v>
      </c>
      <c r="CT31" s="8">
        <f t="shared" si="66"/>
        <v>955.5145393409382</v>
      </c>
      <c r="CU31" s="8">
        <f>CD31*(CD$19-1)</f>
        <v>772.15302743767529</v>
      </c>
      <c r="CV31" s="8">
        <f t="shared" si="66"/>
        <v>15.482299961891695</v>
      </c>
      <c r="CW31" s="8">
        <f t="shared" si="66"/>
        <v>59.244001066970753</v>
      </c>
      <c r="CX31" s="8">
        <f t="shared" si="66"/>
        <v>194.45750298115675</v>
      </c>
      <c r="CY31" s="8">
        <f t="shared" si="92"/>
        <v>876.26525743745788</v>
      </c>
      <c r="CZ31" s="8">
        <f t="shared" si="67"/>
        <v>132.82421585639213</v>
      </c>
      <c r="DA31" s="8">
        <f t="shared" si="68"/>
        <v>40.432935736594111</v>
      </c>
      <c r="DB31" s="8">
        <f t="shared" si="69"/>
        <v>39.49600071131384</v>
      </c>
      <c r="DC31" s="8">
        <f t="shared" si="70"/>
        <v>413.22219383495809</v>
      </c>
      <c r="DD31" s="8">
        <f t="shared" si="71"/>
        <v>207.65890158765944</v>
      </c>
      <c r="DE31" s="86">
        <f t="shared" si="93"/>
        <v>1245.3078360041313</v>
      </c>
      <c r="DF31" s="86">
        <f t="shared" si="94"/>
        <v>1597.9187205155113</v>
      </c>
      <c r="DG31" s="87">
        <f t="shared" si="72"/>
        <v>9.6385305373734909E-2</v>
      </c>
      <c r="DH31" s="88">
        <f t="shared" si="43"/>
        <v>0.55294119767581684</v>
      </c>
      <c r="DI31" s="7">
        <f t="shared" si="44"/>
        <v>0.64932650304955175</v>
      </c>
      <c r="DJ31" s="89">
        <f t="shared" si="45"/>
        <v>0.45655589230208193</v>
      </c>
    </row>
    <row r="32" spans="1:115" x14ac:dyDescent="0.3">
      <c r="A32" s="177">
        <v>37110</v>
      </c>
      <c r="B32" s="92" t="s">
        <v>93</v>
      </c>
      <c r="C32" s="7">
        <f t="shared" si="55"/>
        <v>0.75465493541670414</v>
      </c>
      <c r="D32" s="178"/>
      <c r="E32" s="178"/>
      <c r="F32" s="94"/>
      <c r="G32" s="8">
        <v>4.8200437239456084</v>
      </c>
      <c r="H32" s="8">
        <v>0.47052992046699432</v>
      </c>
      <c r="I32" s="8"/>
      <c r="J32" s="8">
        <v>2.2004032397986241E-2</v>
      </c>
      <c r="K32" s="8">
        <v>3.944500994625121</v>
      </c>
      <c r="L32" s="8">
        <v>3.1591320682719162</v>
      </c>
      <c r="M32" s="95">
        <v>134.8458134050328</v>
      </c>
      <c r="N32" s="96">
        <v>12.771302630090871</v>
      </c>
      <c r="O32" s="71">
        <v>1.928463790304648</v>
      </c>
      <c r="P32" s="8">
        <v>9.6685095371972736</v>
      </c>
      <c r="Q32" s="95">
        <v>1.0504171233691071</v>
      </c>
      <c r="R32" s="71">
        <v>0</v>
      </c>
      <c r="S32" s="8"/>
      <c r="T32" s="8"/>
      <c r="U32" s="8">
        <v>0</v>
      </c>
      <c r="V32" s="8">
        <v>1774.1020149969841</v>
      </c>
      <c r="W32" s="8">
        <v>1046.2983468332179</v>
      </c>
      <c r="X32" s="8">
        <v>0</v>
      </c>
      <c r="Y32" s="95">
        <v>8.9562795295342603</v>
      </c>
      <c r="Z32" s="290">
        <v>0</v>
      </c>
      <c r="AA32" s="8"/>
      <c r="AB32" s="98">
        <f t="shared" si="74"/>
        <v>0</v>
      </c>
      <c r="AC32" s="71">
        <f t="shared" si="56"/>
        <v>3002.0373585854386</v>
      </c>
      <c r="AD32" s="8">
        <v>1183.297784453727</v>
      </c>
      <c r="AE32" s="95">
        <f t="shared" si="75"/>
        <v>1818.7395741317116</v>
      </c>
      <c r="AF32" s="172" t="s">
        <v>93</v>
      </c>
      <c r="AG32" s="100">
        <v>0</v>
      </c>
      <c r="AH32" s="101">
        <v>0</v>
      </c>
      <c r="AI32" s="101">
        <v>0</v>
      </c>
      <c r="AJ32" s="101">
        <v>0</v>
      </c>
      <c r="AK32" s="101">
        <v>0</v>
      </c>
      <c r="AL32" s="101">
        <v>0</v>
      </c>
      <c r="AM32" s="98">
        <v>0</v>
      </c>
      <c r="AN32" s="101">
        <v>0</v>
      </c>
      <c r="AO32" s="100">
        <v>0</v>
      </c>
      <c r="AP32" s="101">
        <v>0</v>
      </c>
      <c r="AQ32" s="98">
        <v>0</v>
      </c>
      <c r="AR32" s="100">
        <v>0</v>
      </c>
      <c r="AS32" s="101">
        <v>0</v>
      </c>
      <c r="AT32" s="101">
        <v>0</v>
      </c>
      <c r="AU32" s="101">
        <v>0</v>
      </c>
      <c r="AV32" s="101">
        <v>0</v>
      </c>
      <c r="AW32" s="101">
        <v>0</v>
      </c>
      <c r="AX32" s="101">
        <v>0</v>
      </c>
      <c r="AY32" s="98">
        <v>0</v>
      </c>
      <c r="AZ32" s="100">
        <v>0</v>
      </c>
      <c r="BA32" s="98"/>
      <c r="BB32" s="102">
        <f t="shared" si="76"/>
        <v>0</v>
      </c>
      <c r="BC32" s="10">
        <f t="shared" si="77"/>
        <v>0</v>
      </c>
      <c r="BD32" s="71">
        <f t="shared" si="57"/>
        <v>37110</v>
      </c>
      <c r="BE32" s="8" t="str">
        <f t="shared" si="57"/>
        <v>Oostvaardersplassen</v>
      </c>
      <c r="BF32" s="7">
        <f t="shared" si="78"/>
        <v>1.6055908532120384E-3</v>
      </c>
      <c r="BG32" s="7">
        <f t="shared" si="58"/>
        <v>1.5673686375732121E-4</v>
      </c>
      <c r="BH32" s="7">
        <f t="shared" si="58"/>
        <v>0</v>
      </c>
      <c r="BI32" s="7">
        <f t="shared" si="58"/>
        <v>7.3296997237751066E-6</v>
      </c>
      <c r="BJ32" s="7">
        <f t="shared" si="58"/>
        <v>1.3139413416506489E-3</v>
      </c>
      <c r="BK32" s="7">
        <f t="shared" si="58"/>
        <v>1.0523293653349141E-3</v>
      </c>
      <c r="BL32" s="7">
        <f t="shared" si="58"/>
        <v>4.4918099709649252E-2</v>
      </c>
      <c r="BM32" s="7">
        <f t="shared" si="58"/>
        <v>4.2542117584135307E-3</v>
      </c>
      <c r="BN32" s="7">
        <f t="shared" si="58"/>
        <v>6.4238500723166913E-4</v>
      </c>
      <c r="BO32" s="7">
        <f t="shared" si="58"/>
        <v>3.2206493065606218E-3</v>
      </c>
      <c r="BP32" s="7">
        <f t="shared" si="58"/>
        <v>3.4990141623822565E-4</v>
      </c>
      <c r="BQ32" s="7">
        <f t="shared" si="58"/>
        <v>0</v>
      </c>
      <c r="BR32" s="7">
        <f t="shared" si="58"/>
        <v>0</v>
      </c>
      <c r="BS32" s="7">
        <f t="shared" si="58"/>
        <v>0</v>
      </c>
      <c r="BT32" s="7">
        <f t="shared" si="58"/>
        <v>0</v>
      </c>
      <c r="BU32" s="7">
        <f t="shared" si="58"/>
        <v>0.59096600177985181</v>
      </c>
      <c r="BV32" s="7">
        <f t="shared" si="58"/>
        <v>0.34852942247402086</v>
      </c>
      <c r="BW32" s="7">
        <f t="shared" si="59"/>
        <v>0</v>
      </c>
      <c r="BX32" s="7">
        <f t="shared" si="59"/>
        <v>2.9834004243552998E-3</v>
      </c>
      <c r="BY32" s="7">
        <f t="shared" si="59"/>
        <v>0</v>
      </c>
      <c r="BZ32" s="72">
        <f t="shared" si="25"/>
        <v>1</v>
      </c>
      <c r="CA32" s="73">
        <f t="shared" si="79"/>
        <v>0.75465493541670403</v>
      </c>
      <c r="CB32" s="74">
        <f t="shared" si="60"/>
        <v>0</v>
      </c>
      <c r="CC32" s="75">
        <f t="shared" si="80"/>
        <v>141.97145050032782</v>
      </c>
      <c r="CD32" s="76">
        <f t="shared" si="81"/>
        <v>12.771302630090871</v>
      </c>
      <c r="CE32" s="76">
        <f t="shared" si="82"/>
        <v>1046.2983468332179</v>
      </c>
      <c r="CF32" s="76">
        <f t="shared" si="83"/>
        <v>1064.4612089981904</v>
      </c>
      <c r="CG32" s="77">
        <f t="shared" si="84"/>
        <v>0</v>
      </c>
      <c r="CH32" s="78">
        <f t="shared" si="85"/>
        <v>5.2905736444126026</v>
      </c>
      <c r="CI32" s="79">
        <f t="shared" si="86"/>
        <v>1.928463790304648</v>
      </c>
      <c r="CJ32" s="79">
        <f t="shared" si="87"/>
        <v>0</v>
      </c>
      <c r="CK32" s="79">
        <f t="shared" si="88"/>
        <v>709.64080599879367</v>
      </c>
      <c r="CL32" s="79">
        <f t="shared" si="89"/>
        <v>0</v>
      </c>
      <c r="CM32" s="80">
        <f t="shared" si="90"/>
        <v>19.675206190100639</v>
      </c>
      <c r="CN32" s="8">
        <f t="shared" si="91"/>
        <v>3002.0373585854386</v>
      </c>
      <c r="CO32" s="81">
        <f t="shared" si="61"/>
        <v>0</v>
      </c>
      <c r="CP32" s="179" t="str">
        <f t="shared" si="62"/>
        <v>Oostvaardersplassen</v>
      </c>
      <c r="CQ32" s="174">
        <f t="shared" si="63"/>
        <v>0.75465493541670403</v>
      </c>
      <c r="CR32" s="175">
        <f t="shared" ref="CR32" si="95">SUMPRODUCT(CC32:CG32,$CC$1:$CG$1)/SUMPRODUCT(CC32:CM32,$CC$1:$CM$1)</f>
        <v>0.83680510727740864</v>
      </c>
      <c r="CS32" s="176">
        <f t="shared" ref="CS32" si="96">SUMPRODUCT(CC32:CG32,$CC$2:$CG$2)/SUMPRODUCT(CC32:CM32,$CC$2:$CM$2)</f>
        <v>0.64882905551046655</v>
      </c>
      <c r="CT32" s="8">
        <f t="shared" si="66"/>
        <v>35.492862625081955</v>
      </c>
      <c r="CU32" s="8">
        <f>CD32*(CD$1-1)</f>
        <v>3.8313907890272616</v>
      </c>
      <c r="CV32" s="8">
        <f t="shared" si="66"/>
        <v>261.57458670830448</v>
      </c>
      <c r="CW32" s="8">
        <f t="shared" si="66"/>
        <v>266.1153022495476</v>
      </c>
      <c r="CX32" s="8">
        <f t="shared" si="66"/>
        <v>0</v>
      </c>
      <c r="CY32" s="8">
        <f t="shared" si="92"/>
        <v>1.3226434111031506</v>
      </c>
      <c r="CZ32" s="8">
        <f t="shared" si="67"/>
        <v>0.482115947576162</v>
      </c>
      <c r="DA32" s="8">
        <f t="shared" si="68"/>
        <v>0</v>
      </c>
      <c r="DB32" s="8">
        <f t="shared" si="69"/>
        <v>177.41020149969842</v>
      </c>
      <c r="DC32" s="8">
        <f t="shared" si="70"/>
        <v>0</v>
      </c>
      <c r="DD32" s="8">
        <f t="shared" si="71"/>
        <v>4.9188015475251596</v>
      </c>
      <c r="DE32" s="86">
        <f t="shared" si="93"/>
        <v>374.85069208378098</v>
      </c>
      <c r="DF32" s="86">
        <f t="shared" si="94"/>
        <v>414.74521984213027</v>
      </c>
      <c r="DG32" s="87">
        <f t="shared" si="72"/>
        <v>0.16266936758910258</v>
      </c>
      <c r="DH32" s="88">
        <f t="shared" si="43"/>
        <v>0.75465493541670403</v>
      </c>
      <c r="DI32" s="7">
        <f t="shared" si="44"/>
        <v>0.91732430300580658</v>
      </c>
      <c r="DJ32" s="89">
        <f t="shared" si="45"/>
        <v>0.59198556782760148</v>
      </c>
    </row>
    <row r="33" spans="1:114" x14ac:dyDescent="0.3">
      <c r="A33" s="177">
        <v>37111</v>
      </c>
      <c r="B33" s="92" t="s">
        <v>94</v>
      </c>
      <c r="C33" s="7">
        <f>(SUMPRODUCT(G33:AA33,$G$38:$AA$38)+SUMPRODUCT(AG33:BA33,$AG$38:$BA$38))/AC33</f>
        <v>0.48517238666809293</v>
      </c>
      <c r="D33" s="178">
        <f t="shared" si="73"/>
        <v>4.811292834458588E-2</v>
      </c>
      <c r="E33" s="178">
        <v>0.22</v>
      </c>
      <c r="F33" s="94">
        <v>9.9166666666666667E-2</v>
      </c>
      <c r="G33" s="8">
        <v>667.61763964987006</v>
      </c>
      <c r="H33" s="8">
        <v>9.5958780351685231</v>
      </c>
      <c r="I33" s="8"/>
      <c r="J33" s="8">
        <v>0.48082141638757397</v>
      </c>
      <c r="K33" s="8">
        <v>325.41712454380939</v>
      </c>
      <c r="L33" s="8">
        <v>225.10296026780739</v>
      </c>
      <c r="M33" s="95">
        <v>18.24599036163886</v>
      </c>
      <c r="N33" s="96">
        <v>892.10583655142159</v>
      </c>
      <c r="O33" s="71">
        <v>127.6362762349641</v>
      </c>
      <c r="P33" s="8">
        <v>106.3910316331331</v>
      </c>
      <c r="Q33" s="95">
        <v>57.750468731252973</v>
      </c>
      <c r="R33" s="71">
        <v>0</v>
      </c>
      <c r="S33" s="8"/>
      <c r="T33" s="8"/>
      <c r="U33" s="8">
        <v>7.008495742389397</v>
      </c>
      <c r="V33" s="8">
        <v>31.699220484374319</v>
      </c>
      <c r="W33" s="8">
        <v>1.369702505174742</v>
      </c>
      <c r="X33" s="8">
        <v>2.454859030877826</v>
      </c>
      <c r="Y33" s="95">
        <v>21.919839901145021</v>
      </c>
      <c r="Z33" s="290">
        <v>1665.5542617660619</v>
      </c>
      <c r="AA33" s="8"/>
      <c r="AB33" s="98">
        <f t="shared" si="74"/>
        <v>39.649941335467616</v>
      </c>
      <c r="AC33" s="71">
        <f t="shared" si="56"/>
        <v>4200.0003481909444</v>
      </c>
      <c r="AD33" s="8">
        <v>1319.659793738771</v>
      </c>
      <c r="AE33" s="95">
        <f t="shared" si="75"/>
        <v>2880.3405544521734</v>
      </c>
      <c r="AF33" s="172" t="s">
        <v>95</v>
      </c>
      <c r="AG33" s="100">
        <v>6.5410157387267214</v>
      </c>
      <c r="AH33" s="101">
        <v>0.51915195304770267</v>
      </c>
      <c r="AI33" s="101">
        <v>0</v>
      </c>
      <c r="AJ33" s="101">
        <v>1.876625198956107E-2</v>
      </c>
      <c r="AK33" s="101">
        <v>5.0040770718820422</v>
      </c>
      <c r="AL33" s="101">
        <v>2.3252842898592401</v>
      </c>
      <c r="AM33" s="98">
        <v>0.39846130049985412</v>
      </c>
      <c r="AN33" s="101">
        <v>12.183164118384941</v>
      </c>
      <c r="AO33" s="100">
        <v>1.195187900766655</v>
      </c>
      <c r="AP33" s="101">
        <v>0.68334566186759416</v>
      </c>
      <c r="AQ33" s="98">
        <v>0.51161928811906643</v>
      </c>
      <c r="AR33" s="100">
        <v>1.2938539435710119</v>
      </c>
      <c r="AS33" s="101">
        <v>1.5136830248823431E-4</v>
      </c>
      <c r="AT33" s="101">
        <v>0</v>
      </c>
      <c r="AU33" s="101">
        <v>0.2104822413503557</v>
      </c>
      <c r="AV33" s="101">
        <v>0.81745560509219328</v>
      </c>
      <c r="AW33" s="101">
        <v>0.19791045663122009</v>
      </c>
      <c r="AX33" s="101">
        <v>5.4925125488293459E-2</v>
      </c>
      <c r="AY33" s="98">
        <v>0.23657531890148961</v>
      </c>
      <c r="AZ33" s="100">
        <v>7.4585137009871874</v>
      </c>
      <c r="BA33" s="98"/>
      <c r="BB33" s="102">
        <f t="shared" si="76"/>
        <v>39.649941335467616</v>
      </c>
      <c r="BC33" s="10">
        <f t="shared" si="77"/>
        <v>0</v>
      </c>
      <c r="BD33" s="71">
        <f t="shared" si="57"/>
        <v>37111</v>
      </c>
      <c r="BE33" s="8" t="str">
        <f t="shared" si="57"/>
        <v>Tochten hoge afdeling NOP</v>
      </c>
      <c r="BF33" s="7">
        <f t="shared" si="78"/>
        <v>0.1605139522616886</v>
      </c>
      <c r="BG33" s="7">
        <f t="shared" si="58"/>
        <v>2.4083402737271314E-3</v>
      </c>
      <c r="BH33" s="7">
        <f t="shared" si="58"/>
        <v>0</v>
      </c>
      <c r="BI33" s="7">
        <f t="shared" si="58"/>
        <v>1.189494349904807E-4</v>
      </c>
      <c r="BJ33" s="7">
        <f t="shared" si="58"/>
        <v>7.8671708148313105E-2</v>
      </c>
      <c r="BK33" s="7">
        <f t="shared" si="58"/>
        <v>5.4149577548398595E-2</v>
      </c>
      <c r="BL33" s="7">
        <f t="shared" si="58"/>
        <v>4.4391547896345755E-3</v>
      </c>
      <c r="BM33" s="7">
        <f t="shared" si="58"/>
        <v>0.21530688707188053</v>
      </c>
      <c r="BN33" s="7">
        <f t="shared" si="58"/>
        <v>3.0674155584587512E-2</v>
      </c>
      <c r="BO33" s="7">
        <f t="shared" si="58"/>
        <v>2.549389724244203E-2</v>
      </c>
      <c r="BP33" s="7">
        <f t="shared" si="58"/>
        <v>1.387192456887941E-2</v>
      </c>
      <c r="BQ33" s="7">
        <f t="shared" si="58"/>
        <v>3.0806043721598984E-4</v>
      </c>
      <c r="BR33" s="7">
        <f t="shared" si="58"/>
        <v>3.604006903319253E-8</v>
      </c>
      <c r="BS33" s="7">
        <f t="shared" si="58"/>
        <v>0</v>
      </c>
      <c r="BT33" s="7">
        <f t="shared" si="58"/>
        <v>1.7188041393494562E-3</v>
      </c>
      <c r="BU33" s="7">
        <f t="shared" si="58"/>
        <v>7.7420650937498952E-3</v>
      </c>
      <c r="BV33" s="7">
        <f t="shared" si="58"/>
        <v>3.7324115043970796E-4</v>
      </c>
      <c r="BW33" s="7">
        <f t="shared" si="59"/>
        <v>5.975676067377357E-4</v>
      </c>
      <c r="BX33" s="7">
        <f t="shared" si="59"/>
        <v>5.275336519814787E-3</v>
      </c>
      <c r="BY33" s="7">
        <f t="shared" si="59"/>
        <v>0.39833634208808144</v>
      </c>
      <c r="BZ33" s="72">
        <f t="shared" si="25"/>
        <v>0.99999999999999989</v>
      </c>
      <c r="CA33" s="73">
        <f>SUMPRODUCT(BF33:BY33,$BF$38:$BY$38)</f>
        <v>0.48517238666809298</v>
      </c>
      <c r="CB33" s="74">
        <f t="shared" si="60"/>
        <v>0</v>
      </c>
      <c r="CC33" s="75">
        <f t="shared" si="80"/>
        <v>576.9934855038739</v>
      </c>
      <c r="CD33" s="76">
        <f t="shared" si="81"/>
        <v>904.28900066980657</v>
      </c>
      <c r="CE33" s="76">
        <f t="shared" si="82"/>
        <v>1.567612961805962</v>
      </c>
      <c r="CF33" s="76">
        <f t="shared" si="83"/>
        <v>19.510005653679908</v>
      </c>
      <c r="CG33" s="77">
        <f t="shared" si="84"/>
        <v>535.36408814945571</v>
      </c>
      <c r="CH33" s="78">
        <f t="shared" si="85"/>
        <v>684.27368537681309</v>
      </c>
      <c r="CI33" s="79">
        <f t="shared" si="86"/>
        <v>128.83146413573076</v>
      </c>
      <c r="CJ33" s="79">
        <f t="shared" si="87"/>
        <v>1.2938539435710119</v>
      </c>
      <c r="CK33" s="79">
        <f t="shared" si="88"/>
        <v>13.006670435786607</v>
      </c>
      <c r="CL33" s="79">
        <f t="shared" si="89"/>
        <v>1137.6486873175934</v>
      </c>
      <c r="CM33" s="80">
        <f t="shared" si="90"/>
        <v>197.22179404282761</v>
      </c>
      <c r="CN33" s="8">
        <f t="shared" si="91"/>
        <v>4200.0003481909434</v>
      </c>
      <c r="CO33" s="81">
        <f t="shared" si="61"/>
        <v>0</v>
      </c>
      <c r="CP33" s="179" t="str">
        <f t="shared" si="62"/>
        <v>Tochten hoge afdeling NOP</v>
      </c>
      <c r="CQ33" s="174">
        <f t="shared" si="63"/>
        <v>0.48517238666809298</v>
      </c>
      <c r="CR33" s="175">
        <f>SUMPRODUCT(CC33:CG33,$CC$19:$CG$19)/SUMPRODUCT(CC33:CM33,$CC$19:$CM$19)</f>
        <v>0.60670142062510546</v>
      </c>
      <c r="CS33" s="176">
        <f>SUMPRODUCT(CC33:CG33,$CC$2:$CG$2)/SUMPRODUCT(CC33:CM33,$CC$2:$CM$2)</f>
        <v>0.38106105799806811</v>
      </c>
      <c r="CT33" s="8">
        <f t="shared" si="66"/>
        <v>144.24837137596847</v>
      </c>
      <c r="CU33" s="8">
        <f>CD33*(CD$19-1)</f>
        <v>180.85780013396126</v>
      </c>
      <c r="CV33" s="8">
        <f t="shared" si="66"/>
        <v>0.3919032404514905</v>
      </c>
      <c r="CW33" s="8">
        <f t="shared" si="66"/>
        <v>4.877501413419977</v>
      </c>
      <c r="CX33" s="8">
        <f t="shared" si="66"/>
        <v>133.84102203736393</v>
      </c>
      <c r="CY33" s="8">
        <f t="shared" si="92"/>
        <v>171.06842134420327</v>
      </c>
      <c r="CZ33" s="8">
        <f t="shared" si="67"/>
        <v>32.207866033932689</v>
      </c>
      <c r="DA33" s="8">
        <f t="shared" si="68"/>
        <v>0.12938539435710117</v>
      </c>
      <c r="DB33" s="8">
        <f t="shared" si="69"/>
        <v>3.2516676089466516</v>
      </c>
      <c r="DC33" s="8">
        <f t="shared" si="70"/>
        <v>284.41217182939835</v>
      </c>
      <c r="DD33" s="8">
        <f t="shared" si="71"/>
        <v>49.305448510706903</v>
      </c>
      <c r="DE33" s="86">
        <f t="shared" si="93"/>
        <v>267.3097441211396</v>
      </c>
      <c r="DF33" s="86">
        <f t="shared" si="94"/>
        <v>430.21872522955493</v>
      </c>
      <c r="DG33" s="87">
        <f t="shared" si="72"/>
        <v>8.0750025696042296E-2</v>
      </c>
      <c r="DH33" s="88">
        <f t="shared" si="43"/>
        <v>0.48517238666809298</v>
      </c>
      <c r="DI33" s="7">
        <f t="shared" si="44"/>
        <v>0.56592241236413532</v>
      </c>
      <c r="DJ33" s="89">
        <f t="shared" si="45"/>
        <v>0.4044223609720507</v>
      </c>
    </row>
    <row r="34" spans="1:114" x14ac:dyDescent="0.3">
      <c r="A34" s="177">
        <v>37112</v>
      </c>
      <c r="B34" s="92" t="s">
        <v>96</v>
      </c>
      <c r="C34" s="7">
        <f>(SUMPRODUCT(G34:AA34,$G$38:$AA$38)+SUMPRODUCT(AG34:BA34,$AG$38:$BA$38))/AC34</f>
        <v>0.51530632512155716</v>
      </c>
      <c r="D34" s="178">
        <f t="shared" si="73"/>
        <v>4.0582749630304775E-2</v>
      </c>
      <c r="E34" s="178">
        <v>0.15</v>
      </c>
      <c r="F34" s="94">
        <v>7.8754611872329697E-2</v>
      </c>
      <c r="G34" s="8">
        <v>144.17927167842419</v>
      </c>
      <c r="H34" s="8">
        <v>2.694338760648785</v>
      </c>
      <c r="I34" s="8"/>
      <c r="J34" s="8">
        <v>8.9776264495736724E-2</v>
      </c>
      <c r="K34" s="8">
        <v>51.322862479369519</v>
      </c>
      <c r="L34" s="8">
        <v>61.450343735064507</v>
      </c>
      <c r="M34" s="95">
        <v>24.353401529897369</v>
      </c>
      <c r="N34" s="96">
        <v>2851.7205806674301</v>
      </c>
      <c r="O34" s="71">
        <v>8.7571433318078125</v>
      </c>
      <c r="P34" s="8">
        <v>2.682054037502994</v>
      </c>
      <c r="Q34" s="95">
        <v>13.093253491779731</v>
      </c>
      <c r="R34" s="71">
        <v>3559.044249</v>
      </c>
      <c r="S34" s="8"/>
      <c r="T34" s="8"/>
      <c r="U34" s="8">
        <v>29.183074993962752</v>
      </c>
      <c r="V34" s="8">
        <v>105.9010559336776</v>
      </c>
      <c r="W34" s="8">
        <v>0</v>
      </c>
      <c r="X34" s="8">
        <v>88.661649418377152</v>
      </c>
      <c r="Y34" s="95">
        <v>8.0418333656244698</v>
      </c>
      <c r="Z34" s="290">
        <v>412.6619882</v>
      </c>
      <c r="AA34" s="8"/>
      <c r="AB34" s="98">
        <f t="shared" si="74"/>
        <v>12332.589196015204</v>
      </c>
      <c r="AC34" s="71">
        <f t="shared" si="56"/>
        <v>19696.426072903269</v>
      </c>
      <c r="AD34" s="8">
        <v>3562.3073656053298</v>
      </c>
      <c r="AE34" s="95">
        <f t="shared" si="75"/>
        <v>16134.118707297939</v>
      </c>
      <c r="AF34" s="172" t="s">
        <v>97</v>
      </c>
      <c r="AG34" s="100">
        <v>1915.445102808048</v>
      </c>
      <c r="AH34" s="101">
        <v>133.0517198910041</v>
      </c>
      <c r="AI34" s="101">
        <v>0</v>
      </c>
      <c r="AJ34" s="101">
        <v>4.8681145518549194</v>
      </c>
      <c r="AK34" s="101">
        <v>1384.3318036386449</v>
      </c>
      <c r="AL34" s="101">
        <v>675.57889280739164</v>
      </c>
      <c r="AM34" s="98">
        <v>106.8783770366401</v>
      </c>
      <c r="AN34" s="101">
        <v>3648.0765257857802</v>
      </c>
      <c r="AO34" s="100">
        <v>352.46378040442937</v>
      </c>
      <c r="AP34" s="101">
        <v>216.13227360254251</v>
      </c>
      <c r="AQ34" s="98">
        <v>152.23933747720699</v>
      </c>
      <c r="AR34" s="100">
        <v>321.13972421009942</v>
      </c>
      <c r="AS34" s="101">
        <v>3.7570218150789689E-2</v>
      </c>
      <c r="AT34" s="101">
        <v>0</v>
      </c>
      <c r="AU34" s="101">
        <v>55.307240648416652</v>
      </c>
      <c r="AV34" s="101">
        <v>216.7573281522177</v>
      </c>
      <c r="AW34" s="101">
        <v>50.080486414063422</v>
      </c>
      <c r="AX34" s="101">
        <v>15.35019065436153</v>
      </c>
      <c r="AY34" s="98">
        <v>68.304146245480766</v>
      </c>
      <c r="AZ34" s="100">
        <v>3016.5465814688728</v>
      </c>
      <c r="BA34" s="98"/>
      <c r="BB34" s="102">
        <f t="shared" si="76"/>
        <v>12332.589196015204</v>
      </c>
      <c r="BC34" s="10">
        <f t="shared" si="77"/>
        <v>0</v>
      </c>
      <c r="BD34" s="71">
        <f t="shared" si="57"/>
        <v>37112</v>
      </c>
      <c r="BE34" s="8" t="str">
        <f t="shared" si="57"/>
        <v>Vaarten NOP</v>
      </c>
      <c r="BF34" s="7">
        <f t="shared" si="78"/>
        <v>0.10456843118965298</v>
      </c>
      <c r="BG34" s="7">
        <f t="shared" si="58"/>
        <v>6.8919131902005918E-3</v>
      </c>
      <c r="BH34" s="7">
        <f t="shared" si="58"/>
        <v>0</v>
      </c>
      <c r="BI34" s="7">
        <f t="shared" si="58"/>
        <v>2.5171525016771024E-4</v>
      </c>
      <c r="BJ34" s="7">
        <f t="shared" si="58"/>
        <v>7.2889094742577223E-2</v>
      </c>
      <c r="BK34" s="7">
        <f t="shared" si="58"/>
        <v>3.7419440146880284E-2</v>
      </c>
      <c r="BL34" s="7">
        <f t="shared" si="58"/>
        <v>6.6627203372227719E-3</v>
      </c>
      <c r="BM34" s="7">
        <f t="shared" si="58"/>
        <v>0.32999880701175016</v>
      </c>
      <c r="BN34" s="7">
        <f t="shared" si="58"/>
        <v>1.833941459223282E-2</v>
      </c>
      <c r="BO34" s="7">
        <f t="shared" si="58"/>
        <v>1.1109341706466859E-2</v>
      </c>
      <c r="BP34" s="7">
        <f t="shared" si="58"/>
        <v>8.3940401348464831E-3</v>
      </c>
      <c r="BQ34" s="7">
        <f t="shared" si="58"/>
        <v>0.19699939262322005</v>
      </c>
      <c r="BR34" s="7">
        <f t="shared" si="58"/>
        <v>1.9074637201555932E-6</v>
      </c>
      <c r="BS34" s="7">
        <f t="shared" si="58"/>
        <v>0</v>
      </c>
      <c r="BT34" s="7">
        <f t="shared" si="58"/>
        <v>4.2896267236325813E-3</v>
      </c>
      <c r="BU34" s="7">
        <f t="shared" si="58"/>
        <v>1.6381570082390853E-2</v>
      </c>
      <c r="BV34" s="7">
        <f t="shared" si="58"/>
        <v>2.5426179464588276E-3</v>
      </c>
      <c r="BW34" s="7">
        <f t="shared" si="59"/>
        <v>5.2807468567015649E-3</v>
      </c>
      <c r="BX34" s="7">
        <f t="shared" si="59"/>
        <v>3.8761336360475969E-3</v>
      </c>
      <c r="BY34" s="7">
        <f t="shared" si="59"/>
        <v>0.17410308636583047</v>
      </c>
      <c r="BZ34" s="72">
        <f t="shared" si="25"/>
        <v>0.99999999999999989</v>
      </c>
      <c r="CA34" s="73">
        <f>SUMPRODUCT(BF34:BY34,$BF$38:$BY$38)</f>
        <v>0.51530632512155727</v>
      </c>
      <c r="CB34" s="74">
        <f t="shared" si="60"/>
        <v>0</v>
      </c>
      <c r="CC34" s="75">
        <f t="shared" si="80"/>
        <v>2308.8735720433583</v>
      </c>
      <c r="CD34" s="76">
        <f t="shared" si="81"/>
        <v>6499.7971064532103</v>
      </c>
      <c r="CE34" s="76">
        <f t="shared" si="82"/>
        <v>50.080486414063422</v>
      </c>
      <c r="CF34" s="76">
        <f t="shared" si="83"/>
        <v>193.59503045153718</v>
      </c>
      <c r="CG34" s="77">
        <f t="shared" si="84"/>
        <v>1097.3467422940394</v>
      </c>
      <c r="CH34" s="78">
        <f t="shared" si="85"/>
        <v>2195.370433138125</v>
      </c>
      <c r="CI34" s="79">
        <f t="shared" si="86"/>
        <v>361.22092373623718</v>
      </c>
      <c r="CJ34" s="79">
        <f t="shared" si="87"/>
        <v>3880.1839732100993</v>
      </c>
      <c r="CK34" s="79">
        <f t="shared" si="88"/>
        <v>129.06335363435812</v>
      </c>
      <c r="CL34" s="79">
        <f t="shared" si="89"/>
        <v>2331.8618273748334</v>
      </c>
      <c r="CM34" s="80">
        <f t="shared" si="90"/>
        <v>649.03262415340635</v>
      </c>
      <c r="CN34" s="8">
        <f t="shared" si="91"/>
        <v>19696.426072903265</v>
      </c>
      <c r="CO34" s="81">
        <f t="shared" si="61"/>
        <v>0</v>
      </c>
      <c r="CP34" s="179" t="str">
        <f t="shared" si="62"/>
        <v>Vaarten NOP</v>
      </c>
      <c r="CQ34" s="174">
        <f t="shared" si="63"/>
        <v>0.51530632512155727</v>
      </c>
      <c r="CR34" s="175">
        <f>SUMPRODUCT(CC34:CG34,$CC$19:$CG$19)/SUMPRODUCT(CC34:CM34,$CC$19:$CM$19)</f>
        <v>0.61490255778162151</v>
      </c>
      <c r="CS34" s="176">
        <f>SUMPRODUCT(CC34:CG34,$CC$2:$CG$2)/SUMPRODUCT(CC34:CM34,$CC$2:$CM$2)</f>
        <v>0.43068355703629418</v>
      </c>
      <c r="CT34" s="8">
        <f t="shared" si="66"/>
        <v>577.21839301083958</v>
      </c>
      <c r="CU34" s="8">
        <f>CD34*(CD$19-1)</f>
        <v>1299.9594212906418</v>
      </c>
      <c r="CV34" s="8">
        <f t="shared" si="66"/>
        <v>12.520121603515856</v>
      </c>
      <c r="CW34" s="8">
        <f t="shared" si="66"/>
        <v>48.398757612884296</v>
      </c>
      <c r="CX34" s="8">
        <f t="shared" si="66"/>
        <v>274.33668557350984</v>
      </c>
      <c r="CY34" s="8">
        <f t="shared" si="92"/>
        <v>548.84260828453125</v>
      </c>
      <c r="CZ34" s="8">
        <f t="shared" si="67"/>
        <v>90.305230934059296</v>
      </c>
      <c r="DA34" s="8">
        <f t="shared" si="68"/>
        <v>388.01839732100984</v>
      </c>
      <c r="DB34" s="8">
        <f t="shared" si="69"/>
        <v>32.265838408589531</v>
      </c>
      <c r="DC34" s="8">
        <f t="shared" si="70"/>
        <v>582.96545684370835</v>
      </c>
      <c r="DD34" s="8">
        <f t="shared" si="71"/>
        <v>162.25815603835159</v>
      </c>
      <c r="DE34" s="86">
        <f t="shared" si="93"/>
        <v>1449.4258796044774</v>
      </c>
      <c r="DF34" s="86">
        <f t="shared" si="94"/>
        <v>1711.1383397994352</v>
      </c>
      <c r="DG34" s="87">
        <f t="shared" si="72"/>
        <v>8.6135737161139425E-2</v>
      </c>
      <c r="DH34" s="88">
        <f t="shared" si="43"/>
        <v>0.51530632512155727</v>
      </c>
      <c r="DI34" s="7">
        <f t="shared" si="44"/>
        <v>0.6014420622826967</v>
      </c>
      <c r="DJ34" s="89">
        <f t="shared" si="45"/>
        <v>0.42917058796041785</v>
      </c>
    </row>
    <row r="35" spans="1:114" x14ac:dyDescent="0.3">
      <c r="A35" s="177">
        <v>37113</v>
      </c>
      <c r="B35" s="92" t="s">
        <v>98</v>
      </c>
      <c r="C35" s="7">
        <f t="shared" si="55"/>
        <v>0.73662468250321</v>
      </c>
      <c r="D35" s="178">
        <f t="shared" si="73"/>
        <v>6.6587786947048033E-2</v>
      </c>
      <c r="E35" s="178">
        <v>0.1</v>
      </c>
      <c r="F35" s="94">
        <v>9.0395812859227487E-2</v>
      </c>
      <c r="G35" s="8">
        <v>504.4768817732633</v>
      </c>
      <c r="H35" s="8">
        <v>6.405027829290332</v>
      </c>
      <c r="I35" s="8"/>
      <c r="J35" s="8">
        <v>0.41832418751699701</v>
      </c>
      <c r="K35" s="8">
        <v>160.76812182224799</v>
      </c>
      <c r="L35" s="8">
        <v>236.31936458361821</v>
      </c>
      <c r="M35" s="95">
        <v>46.235614646763182</v>
      </c>
      <c r="N35" s="96">
        <v>2184.2196129800709</v>
      </c>
      <c r="O35" s="71">
        <v>69.54716923166788</v>
      </c>
      <c r="P35" s="8">
        <v>0.17376202774231969</v>
      </c>
      <c r="Q35" s="95">
        <v>35.80260678165957</v>
      </c>
      <c r="R35" s="71">
        <v>475.43329356666658</v>
      </c>
      <c r="S35" s="8"/>
      <c r="T35" s="8"/>
      <c r="U35" s="8">
        <v>12.39765079769259</v>
      </c>
      <c r="V35" s="8">
        <v>126.5144796479763</v>
      </c>
      <c r="W35" s="8">
        <v>0</v>
      </c>
      <c r="X35" s="8">
        <v>59.026421211245783</v>
      </c>
      <c r="Y35" s="95">
        <v>15.54334677881614</v>
      </c>
      <c r="Z35" s="290">
        <v>595.4044006661112</v>
      </c>
      <c r="AA35" s="8"/>
      <c r="AB35" s="98">
        <f t="shared" si="74"/>
        <v>8782.8256358732669</v>
      </c>
      <c r="AC35" s="71">
        <f t="shared" si="56"/>
        <v>13311.511714405617</v>
      </c>
      <c r="AD35" s="8">
        <v>3020.343937332711</v>
      </c>
      <c r="AE35" s="95">
        <f t="shared" si="75"/>
        <v>10291.167777072906</v>
      </c>
      <c r="AF35" s="172" t="s">
        <v>99</v>
      </c>
      <c r="AG35" s="100">
        <v>475.65806357992108</v>
      </c>
      <c r="AH35" s="101">
        <v>21.491167570621361</v>
      </c>
      <c r="AI35" s="101">
        <v>0</v>
      </c>
      <c r="AJ35" s="101">
        <v>0.92627063409287758</v>
      </c>
      <c r="AK35" s="101">
        <v>418.88996201205009</v>
      </c>
      <c r="AL35" s="101">
        <v>234.02143020572791</v>
      </c>
      <c r="AM35" s="98">
        <v>391.16762162969383</v>
      </c>
      <c r="AN35" s="101">
        <v>3996.3779542415741</v>
      </c>
      <c r="AO35" s="100">
        <v>189.7930684871753</v>
      </c>
      <c r="AP35" s="101">
        <v>1.76087330507232</v>
      </c>
      <c r="AQ35" s="98">
        <v>56.545652112164568</v>
      </c>
      <c r="AR35" s="100">
        <v>0</v>
      </c>
      <c r="AS35" s="101">
        <v>0</v>
      </c>
      <c r="AT35" s="101">
        <v>0</v>
      </c>
      <c r="AU35" s="101">
        <v>5.0393032842298764</v>
      </c>
      <c r="AV35" s="101">
        <v>2613.7013707202059</v>
      </c>
      <c r="AW35" s="101">
        <v>283.53921517344429</v>
      </c>
      <c r="AX35" s="101">
        <v>7.596003373296992</v>
      </c>
      <c r="AY35" s="98">
        <v>29.924930447328851</v>
      </c>
      <c r="AZ35" s="100">
        <v>56.39274909666667</v>
      </c>
      <c r="BA35" s="98"/>
      <c r="BB35" s="102">
        <f t="shared" si="76"/>
        <v>8782.8256358732669</v>
      </c>
      <c r="BC35" s="10">
        <f t="shared" si="77"/>
        <v>0</v>
      </c>
      <c r="BD35" s="71">
        <f t="shared" si="57"/>
        <v>37113</v>
      </c>
      <c r="BE35" s="8" t="str">
        <f t="shared" si="57"/>
        <v>Vaarten hoge afdeling ZOF</v>
      </c>
      <c r="BF35" s="7">
        <f t="shared" si="78"/>
        <v>7.3630626361729429E-2</v>
      </c>
      <c r="BG35" s="7">
        <f t="shared" si="58"/>
        <v>2.0956444315578856E-3</v>
      </c>
      <c r="BH35" s="7">
        <f t="shared" si="58"/>
        <v>0</v>
      </c>
      <c r="BI35" s="7">
        <f t="shared" si="58"/>
        <v>1.0100992663025375E-4</v>
      </c>
      <c r="BJ35" s="7">
        <f t="shared" si="58"/>
        <v>4.3545623988520889E-2</v>
      </c>
      <c r="BK35" s="7">
        <f t="shared" si="58"/>
        <v>3.5333386987170423E-2</v>
      </c>
      <c r="BL35" s="7">
        <f t="shared" si="58"/>
        <v>3.2859020497506872E-2</v>
      </c>
      <c r="BM35" s="7">
        <f t="shared" si="58"/>
        <v>0.46430470857288497</v>
      </c>
      <c r="BN35" s="7">
        <f t="shared" si="58"/>
        <v>1.9482403147208831E-2</v>
      </c>
      <c r="BO35" s="7">
        <f t="shared" si="58"/>
        <v>1.4533550916842841E-4</v>
      </c>
      <c r="BP35" s="7">
        <f t="shared" si="58"/>
        <v>6.9374734346577295E-3</v>
      </c>
      <c r="BQ35" s="7">
        <f t="shared" si="58"/>
        <v>3.5715950507120564E-2</v>
      </c>
      <c r="BR35" s="7">
        <f t="shared" si="58"/>
        <v>0</v>
      </c>
      <c r="BS35" s="7">
        <f t="shared" si="58"/>
        <v>0</v>
      </c>
      <c r="BT35" s="7">
        <f t="shared" si="58"/>
        <v>1.3099153917321296E-3</v>
      </c>
      <c r="BU35" s="7">
        <f t="shared" si="58"/>
        <v>0.20585309235785304</v>
      </c>
      <c r="BV35" s="7">
        <f t="shared" si="58"/>
        <v>2.1300301667961596E-2</v>
      </c>
      <c r="BW35" s="7">
        <f t="shared" si="59"/>
        <v>5.0048729260737902E-3</v>
      </c>
      <c r="BX35" s="7">
        <f t="shared" si="59"/>
        <v>3.4157110177756569E-3</v>
      </c>
      <c r="BY35" s="7">
        <f t="shared" si="59"/>
        <v>4.8964923274447326E-2</v>
      </c>
      <c r="BZ35" s="72">
        <f t="shared" si="25"/>
        <v>0.99999999999999978</v>
      </c>
      <c r="CA35" s="73">
        <f t="shared" ref="CA35:CA36" si="97">SUMPRODUCT(BF35:BY35,$BF$37:$BY$37)</f>
        <v>0.73662468250321</v>
      </c>
      <c r="CB35" s="74">
        <f t="shared" si="60"/>
        <v>0</v>
      </c>
      <c r="CC35" s="75">
        <f t="shared" si="80"/>
        <v>1488.7467097217109</v>
      </c>
      <c r="CD35" s="76">
        <f t="shared" si="81"/>
        <v>6180.5975672216446</v>
      </c>
      <c r="CE35" s="76">
        <f t="shared" si="82"/>
        <v>283.53921517344429</v>
      </c>
      <c r="CF35" s="76">
        <f t="shared" si="83"/>
        <v>1644.1295102209092</v>
      </c>
      <c r="CG35" s="77">
        <f t="shared" si="84"/>
        <v>208.5750879240889</v>
      </c>
      <c r="CH35" s="78">
        <f t="shared" si="85"/>
        <v>1008.031140753096</v>
      </c>
      <c r="CI35" s="79">
        <f t="shared" si="86"/>
        <v>259.34023771884318</v>
      </c>
      <c r="CJ35" s="79">
        <f t="shared" si="87"/>
        <v>475.43329356666658</v>
      </c>
      <c r="CK35" s="79">
        <f t="shared" si="88"/>
        <v>1096.0863401472729</v>
      </c>
      <c r="CL35" s="79">
        <f t="shared" si="89"/>
        <v>443.22206183868889</v>
      </c>
      <c r="CM35" s="80">
        <f t="shared" si="90"/>
        <v>223.810550119249</v>
      </c>
      <c r="CN35" s="8">
        <f t="shared" si="91"/>
        <v>13311.511714405613</v>
      </c>
      <c r="CO35" s="81">
        <f t="shared" si="61"/>
        <v>0</v>
      </c>
      <c r="CP35" s="173" t="str">
        <f t="shared" si="62"/>
        <v>Vaarten hoge afdeling ZOF</v>
      </c>
      <c r="CQ35" s="174">
        <f t="shared" si="63"/>
        <v>0.73662468250321</v>
      </c>
      <c r="CR35" s="175">
        <f t="shared" ref="CR35:CR36" si="98">SUMPRODUCT(CC35:CG35,$CC$1:$CG$1)/SUMPRODUCT(CC35:CM35,$CC$1:$CM$1)</f>
        <v>0.82309570171608293</v>
      </c>
      <c r="CS35" s="176">
        <f t="shared" ref="CS35:CS36" si="99">SUMPRODUCT(CC35:CG35,$CC$2:$CG$2)/SUMPRODUCT(CC35:CM35,$CC$2:$CM$2)</f>
        <v>0.65764272695709569</v>
      </c>
      <c r="CT35" s="8">
        <f t="shared" si="66"/>
        <v>372.18667743042772</v>
      </c>
      <c r="CU35" s="8">
        <f t="shared" si="66"/>
        <v>1854.1792701664936</v>
      </c>
      <c r="CV35" s="8">
        <f t="shared" si="66"/>
        <v>70.884803793361073</v>
      </c>
      <c r="CW35" s="8">
        <f t="shared" si="66"/>
        <v>411.0323775552273</v>
      </c>
      <c r="CX35" s="8">
        <f t="shared" si="66"/>
        <v>52.143771981022226</v>
      </c>
      <c r="CY35" s="8">
        <f t="shared" si="92"/>
        <v>252.007785188274</v>
      </c>
      <c r="CZ35" s="8">
        <f t="shared" si="67"/>
        <v>64.835059429710796</v>
      </c>
      <c r="DA35" s="8">
        <f t="shared" si="68"/>
        <v>47.543329356666646</v>
      </c>
      <c r="DB35" s="8">
        <f t="shared" si="69"/>
        <v>274.02158503681824</v>
      </c>
      <c r="DC35" s="8">
        <f t="shared" si="70"/>
        <v>110.80551545967222</v>
      </c>
      <c r="DD35" s="8">
        <f t="shared" si="71"/>
        <v>55.95263752981225</v>
      </c>
      <c r="DE35" s="86">
        <f t="shared" si="93"/>
        <v>1937.3164255061142</v>
      </c>
      <c r="DF35" s="86">
        <f t="shared" si="94"/>
        <v>1978.2980560061656</v>
      </c>
      <c r="DG35" s="87">
        <f t="shared" si="72"/>
        <v>0.18211406129057914</v>
      </c>
      <c r="DH35" s="88">
        <f t="shared" si="43"/>
        <v>0.73662468250321</v>
      </c>
      <c r="DI35" s="7">
        <f t="shared" si="44"/>
        <v>0.91873874379378917</v>
      </c>
      <c r="DJ35" s="89">
        <f t="shared" si="45"/>
        <v>0.55451062121263084</v>
      </c>
    </row>
    <row r="36" spans="1:114" x14ac:dyDescent="0.3">
      <c r="A36" s="180">
        <v>37114</v>
      </c>
      <c r="B36" s="106" t="s">
        <v>100</v>
      </c>
      <c r="C36" s="120">
        <f t="shared" si="55"/>
        <v>0.58165862821631575</v>
      </c>
      <c r="D36" s="181">
        <f t="shared" si="73"/>
        <v>8.2651032354902218E-2</v>
      </c>
      <c r="E36" s="181">
        <v>0.15</v>
      </c>
      <c r="F36" s="109">
        <v>0.14209542908072317</v>
      </c>
      <c r="G36" s="110">
        <v>293.02623783345553</v>
      </c>
      <c r="H36" s="110">
        <v>5.6487985735504491</v>
      </c>
      <c r="I36" s="110"/>
      <c r="J36" s="110">
        <v>0.38116433928189342</v>
      </c>
      <c r="K36" s="110">
        <v>61.909649810127057</v>
      </c>
      <c r="L36" s="110">
        <v>136.54126197257651</v>
      </c>
      <c r="M36" s="111">
        <v>138.19479734663139</v>
      </c>
      <c r="N36" s="112">
        <v>4950.9108487317953</v>
      </c>
      <c r="O36" s="113">
        <v>27.681583032100139</v>
      </c>
      <c r="P36" s="110">
        <v>157.7264151954615</v>
      </c>
      <c r="Q36" s="111">
        <v>24.73623420118864</v>
      </c>
      <c r="R36" s="113">
        <v>6974.5508483666672</v>
      </c>
      <c r="S36" s="110"/>
      <c r="T36" s="110"/>
      <c r="U36" s="110">
        <v>50.259904680100597</v>
      </c>
      <c r="V36" s="110">
        <v>1312.1841631272009</v>
      </c>
      <c r="W36" s="110">
        <v>39.695249818210243</v>
      </c>
      <c r="X36" s="110">
        <v>83.478659934213596</v>
      </c>
      <c r="Y36" s="111">
        <v>24.335578637605661</v>
      </c>
      <c r="Z36" s="289">
        <v>153.10357365277781</v>
      </c>
      <c r="AA36" s="110"/>
      <c r="AB36" s="115">
        <f t="shared" si="74"/>
        <v>13684.354893064747</v>
      </c>
      <c r="AC36" s="113">
        <f t="shared" si="56"/>
        <v>28118.719862317688</v>
      </c>
      <c r="AD36" s="110">
        <v>5235.2480770002849</v>
      </c>
      <c r="AE36" s="111">
        <f t="shared" si="75"/>
        <v>22883.471785317404</v>
      </c>
      <c r="AF36" s="182" t="s">
        <v>101</v>
      </c>
      <c r="AG36" s="117">
        <v>1610.6019437134071</v>
      </c>
      <c r="AH36" s="118">
        <v>23.294621480251219</v>
      </c>
      <c r="AI36" s="118">
        <v>0</v>
      </c>
      <c r="AJ36" s="118">
        <v>1.810026188533189</v>
      </c>
      <c r="AK36" s="118">
        <v>544.73792493495705</v>
      </c>
      <c r="AL36" s="118">
        <v>692.07386867130958</v>
      </c>
      <c r="AM36" s="115">
        <v>271.24752095042612</v>
      </c>
      <c r="AN36" s="118">
        <v>5899.000054192572</v>
      </c>
      <c r="AO36" s="117">
        <v>258.30999611163662</v>
      </c>
      <c r="AP36" s="118">
        <v>7.594144316670004</v>
      </c>
      <c r="AQ36" s="115">
        <v>136.094347947795</v>
      </c>
      <c r="AR36" s="117">
        <v>99.842259471116137</v>
      </c>
      <c r="AS36" s="118">
        <v>0</v>
      </c>
      <c r="AT36" s="118">
        <v>0</v>
      </c>
      <c r="AU36" s="118">
        <v>15.27659589071993</v>
      </c>
      <c r="AV36" s="118">
        <v>2800.0627093204598</v>
      </c>
      <c r="AW36" s="118">
        <v>1046.950248719266</v>
      </c>
      <c r="AX36" s="118">
        <v>14.16206923758962</v>
      </c>
      <c r="AY36" s="115">
        <v>89.227375663638185</v>
      </c>
      <c r="AZ36" s="117">
        <v>174.0691862543992</v>
      </c>
      <c r="BA36" s="115"/>
      <c r="BB36" s="119">
        <f t="shared" si="76"/>
        <v>13684.354893064747</v>
      </c>
      <c r="BC36" s="10">
        <f t="shared" si="77"/>
        <v>0</v>
      </c>
      <c r="BD36" s="113">
        <f t="shared" si="57"/>
        <v>37114</v>
      </c>
      <c r="BE36" s="110" t="str">
        <f t="shared" si="57"/>
        <v>Vaarten Lage afdeling ZOF</v>
      </c>
      <c r="BF36" s="120">
        <f t="shared" si="78"/>
        <v>6.7699674482619057E-2</v>
      </c>
      <c r="BG36" s="120">
        <f t="shared" si="58"/>
        <v>1.0293292225080691E-3</v>
      </c>
      <c r="BH36" s="120">
        <f t="shared" si="58"/>
        <v>0</v>
      </c>
      <c r="BI36" s="120">
        <f t="shared" si="58"/>
        <v>7.7926397024621633E-5</v>
      </c>
      <c r="BJ36" s="120">
        <f t="shared" si="58"/>
        <v>2.1574509000250094E-2</v>
      </c>
      <c r="BK36" s="120">
        <f t="shared" si="58"/>
        <v>2.9468451433819556E-2</v>
      </c>
      <c r="BL36" s="120">
        <f t="shared" si="58"/>
        <v>1.4561200520574096E-2</v>
      </c>
      <c r="BM36" s="120">
        <f t="shared" si="58"/>
        <v>0.38586077019332921</v>
      </c>
      <c r="BN36" s="120">
        <f t="shared" si="58"/>
        <v>1.0170860570612188E-2</v>
      </c>
      <c r="BO36" s="120">
        <f t="shared" si="58"/>
        <v>5.8793771665857381E-3</v>
      </c>
      <c r="BP36" s="120">
        <f t="shared" si="58"/>
        <v>5.7196978716131056E-3</v>
      </c>
      <c r="BQ36" s="120">
        <f t="shared" si="58"/>
        <v>0.25159015568551124</v>
      </c>
      <c r="BR36" s="120">
        <f t="shared" si="58"/>
        <v>0</v>
      </c>
      <c r="BS36" s="120">
        <f t="shared" si="58"/>
        <v>0</v>
      </c>
      <c r="BT36" s="120">
        <f t="shared" si="58"/>
        <v>2.3307071193751942E-3</v>
      </c>
      <c r="BU36" s="120">
        <f t="shared" si="58"/>
        <v>0.14624587792698709</v>
      </c>
      <c r="BV36" s="120">
        <f t="shared" si="58"/>
        <v>3.8644913561435131E-2</v>
      </c>
      <c r="BW36" s="120">
        <f t="shared" si="59"/>
        <v>3.4724457461042884E-3</v>
      </c>
      <c r="BX36" s="120">
        <f t="shared" si="59"/>
        <v>4.0386957463675738E-3</v>
      </c>
      <c r="BY36" s="120">
        <f t="shared" si="59"/>
        <v>1.1635407355283839E-2</v>
      </c>
      <c r="BZ36" s="121">
        <f t="shared" si="25"/>
        <v>1.0000000000000002</v>
      </c>
      <c r="CA36" s="73">
        <f t="shared" si="97"/>
        <v>0.58165862821631586</v>
      </c>
      <c r="CB36" s="74">
        <f t="shared" si="60"/>
        <v>0</v>
      </c>
      <c r="CC36" s="122">
        <f t="shared" si="80"/>
        <v>1846.896214213843</v>
      </c>
      <c r="CD36" s="123">
        <f t="shared" si="81"/>
        <v>10849.910902924366</v>
      </c>
      <c r="CE36" s="123">
        <f t="shared" si="82"/>
        <v>1086.6454985374762</v>
      </c>
      <c r="CF36" s="123">
        <f t="shared" si="83"/>
        <v>2467.348123468596</v>
      </c>
      <c r="CG36" s="124">
        <f t="shared" si="84"/>
        <v>104.69528317029665</v>
      </c>
      <c r="CH36" s="114">
        <f t="shared" si="85"/>
        <v>1932.5716016006643</v>
      </c>
      <c r="CI36" s="125">
        <f t="shared" si="86"/>
        <v>285.99157914373677</v>
      </c>
      <c r="CJ36" s="125">
        <f t="shared" si="87"/>
        <v>7074.3931078377836</v>
      </c>
      <c r="CK36" s="125">
        <f t="shared" si="88"/>
        <v>1644.8987489790643</v>
      </c>
      <c r="CL36" s="125">
        <f t="shared" si="89"/>
        <v>222.47747673688033</v>
      </c>
      <c r="CM36" s="126">
        <f t="shared" si="90"/>
        <v>602.89132570498282</v>
      </c>
      <c r="CN36" s="8">
        <f t="shared" si="91"/>
        <v>28118.719862317688</v>
      </c>
      <c r="CO36" s="81">
        <f t="shared" si="61"/>
        <v>0</v>
      </c>
      <c r="CP36" s="183" t="str">
        <f t="shared" si="62"/>
        <v>Vaarten Lage afdeling ZOF</v>
      </c>
      <c r="CQ36" s="184">
        <f t="shared" si="63"/>
        <v>0.58165862821631586</v>
      </c>
      <c r="CR36" s="185">
        <f t="shared" si="98"/>
        <v>0.67983689018900217</v>
      </c>
      <c r="CS36" s="186">
        <f t="shared" si="99"/>
        <v>0.50456182600698951</v>
      </c>
      <c r="CT36" s="8">
        <f t="shared" si="66"/>
        <v>461.72405355346075</v>
      </c>
      <c r="CU36" s="8">
        <f t="shared" si="66"/>
        <v>3254.9732708773104</v>
      </c>
      <c r="CV36" s="8">
        <f t="shared" si="66"/>
        <v>271.66137463436905</v>
      </c>
      <c r="CW36" s="8">
        <f t="shared" si="66"/>
        <v>616.837030867149</v>
      </c>
      <c r="CX36" s="8">
        <f t="shared" si="66"/>
        <v>26.173820792574162</v>
      </c>
      <c r="CY36" s="8">
        <f t="shared" si="92"/>
        <v>483.14290040016607</v>
      </c>
      <c r="CZ36" s="8">
        <f t="shared" si="67"/>
        <v>71.497894785934193</v>
      </c>
      <c r="DA36" s="8">
        <f t="shared" si="68"/>
        <v>707.43931078377818</v>
      </c>
      <c r="DB36" s="8">
        <f t="shared" si="69"/>
        <v>411.22468724476607</v>
      </c>
      <c r="DC36" s="8">
        <f t="shared" si="70"/>
        <v>55.619369184220083</v>
      </c>
      <c r="DD36" s="8">
        <f t="shared" si="71"/>
        <v>150.7228314262457</v>
      </c>
      <c r="DE36" s="86">
        <f t="shared" si="93"/>
        <v>3356.0412675900889</v>
      </c>
      <c r="DF36" s="86">
        <f t="shared" si="94"/>
        <v>3492.4116322273599</v>
      </c>
      <c r="DG36" s="132">
        <f t="shared" si="72"/>
        <v>0.13951394226029001</v>
      </c>
      <c r="DH36" s="107">
        <f t="shared" si="43"/>
        <v>0.58165862821631586</v>
      </c>
      <c r="DI36" s="120">
        <f t="shared" si="44"/>
        <v>0.72117257047660588</v>
      </c>
      <c r="DJ36" s="133">
        <f t="shared" si="45"/>
        <v>0.44214468595602585</v>
      </c>
    </row>
    <row r="37" spans="1:114" x14ac:dyDescent="0.3">
      <c r="B37" t="s">
        <v>117</v>
      </c>
      <c r="G37" s="187">
        <v>0</v>
      </c>
      <c r="H37" s="187">
        <v>0</v>
      </c>
      <c r="I37" s="187">
        <v>1</v>
      </c>
      <c r="J37" s="187">
        <v>1</v>
      </c>
      <c r="K37" s="187">
        <v>1</v>
      </c>
      <c r="L37" s="187">
        <v>1</v>
      </c>
      <c r="M37" s="187">
        <v>1</v>
      </c>
      <c r="N37" s="187">
        <v>1</v>
      </c>
      <c r="O37" s="187">
        <v>0</v>
      </c>
      <c r="P37" s="187">
        <v>0</v>
      </c>
      <c r="Q37" s="187">
        <v>0</v>
      </c>
      <c r="R37" s="187">
        <v>0</v>
      </c>
      <c r="S37" s="187">
        <v>0</v>
      </c>
      <c r="T37" s="187">
        <v>1</v>
      </c>
      <c r="U37" s="187">
        <v>0</v>
      </c>
      <c r="V37" s="187">
        <v>0.6</v>
      </c>
      <c r="W37" s="187">
        <v>1</v>
      </c>
      <c r="X37" s="187">
        <v>0</v>
      </c>
      <c r="Y37" s="187">
        <v>0</v>
      </c>
      <c r="Z37" s="187">
        <v>0.32</v>
      </c>
      <c r="AA37" s="187"/>
      <c r="AB37" s="187"/>
      <c r="AC37" s="187"/>
      <c r="AD37" s="187"/>
      <c r="AE37" s="187"/>
      <c r="AF37" s="187"/>
      <c r="AG37" s="187">
        <v>0</v>
      </c>
      <c r="AH37" s="187">
        <v>0</v>
      </c>
      <c r="AI37" s="187">
        <v>1</v>
      </c>
      <c r="AJ37" s="187">
        <v>1</v>
      </c>
      <c r="AK37" s="187">
        <v>1</v>
      </c>
      <c r="AL37" s="187">
        <v>1</v>
      </c>
      <c r="AM37" s="187">
        <v>1</v>
      </c>
      <c r="AN37" s="187">
        <v>1</v>
      </c>
      <c r="AO37" s="187">
        <v>0</v>
      </c>
      <c r="AP37" s="187">
        <v>0</v>
      </c>
      <c r="AQ37" s="187">
        <v>0</v>
      </c>
      <c r="AR37" s="187">
        <v>0</v>
      </c>
      <c r="AS37" s="187">
        <v>0</v>
      </c>
      <c r="AT37" s="187">
        <v>1</v>
      </c>
      <c r="AU37" s="187">
        <v>0</v>
      </c>
      <c r="AV37" s="187">
        <v>0.6</v>
      </c>
      <c r="AW37" s="187">
        <v>1</v>
      </c>
      <c r="AX37" s="187">
        <v>0</v>
      </c>
      <c r="AY37" s="187">
        <v>0</v>
      </c>
      <c r="AZ37" s="187">
        <v>0.32</v>
      </c>
      <c r="BA37" s="187">
        <v>0</v>
      </c>
      <c r="BB37" s="5"/>
      <c r="BC37" s="5"/>
      <c r="BD37" s="8"/>
      <c r="BE37" s="8"/>
      <c r="BF37" s="187">
        <f>G37</f>
        <v>0</v>
      </c>
      <c r="BG37" s="187">
        <f t="shared" ref="BG37:BV38" si="100">H37</f>
        <v>0</v>
      </c>
      <c r="BH37" s="187">
        <f t="shared" si="100"/>
        <v>1</v>
      </c>
      <c r="BI37" s="187">
        <f t="shared" si="100"/>
        <v>1</v>
      </c>
      <c r="BJ37" s="187">
        <f t="shared" si="100"/>
        <v>1</v>
      </c>
      <c r="BK37" s="187">
        <f t="shared" si="100"/>
        <v>1</v>
      </c>
      <c r="BL37" s="187">
        <f t="shared" si="100"/>
        <v>1</v>
      </c>
      <c r="BM37" s="187">
        <f t="shared" si="100"/>
        <v>1</v>
      </c>
      <c r="BN37" s="187">
        <f t="shared" si="100"/>
        <v>0</v>
      </c>
      <c r="BO37" s="187">
        <f t="shared" si="100"/>
        <v>0</v>
      </c>
      <c r="BP37" s="187">
        <f t="shared" si="100"/>
        <v>0</v>
      </c>
      <c r="BQ37" s="187">
        <f t="shared" si="100"/>
        <v>0</v>
      </c>
      <c r="BR37" s="187">
        <f t="shared" si="100"/>
        <v>0</v>
      </c>
      <c r="BS37" s="187">
        <f t="shared" si="100"/>
        <v>1</v>
      </c>
      <c r="BT37" s="187">
        <f t="shared" si="100"/>
        <v>0</v>
      </c>
      <c r="BU37" s="187">
        <f t="shared" si="100"/>
        <v>0.6</v>
      </c>
      <c r="BV37" s="187">
        <f t="shared" si="100"/>
        <v>1</v>
      </c>
      <c r="BW37" s="187">
        <f t="shared" ref="BW37:BY38" si="101">X37</f>
        <v>0</v>
      </c>
      <c r="BX37" s="187">
        <f t="shared" si="101"/>
        <v>0</v>
      </c>
      <c r="BY37" s="187">
        <f t="shared" si="101"/>
        <v>0.32</v>
      </c>
      <c r="CQ37" s="7"/>
      <c r="CS37" s="136"/>
      <c r="DE37" s="86"/>
      <c r="DF37" s="86"/>
      <c r="DG37" s="137"/>
      <c r="DH37" s="7"/>
      <c r="DI37" s="90"/>
      <c r="DJ37" s="90"/>
    </row>
    <row r="38" spans="1:114" x14ac:dyDescent="0.3">
      <c r="G38" s="187">
        <v>0</v>
      </c>
      <c r="H38" s="187">
        <v>0</v>
      </c>
      <c r="I38" s="187">
        <v>1</v>
      </c>
      <c r="J38" s="187">
        <v>1</v>
      </c>
      <c r="K38" s="187">
        <v>1</v>
      </c>
      <c r="L38" s="187">
        <v>1</v>
      </c>
      <c r="M38" s="187">
        <v>1</v>
      </c>
      <c r="N38" s="187">
        <v>1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1</v>
      </c>
      <c r="U38" s="187">
        <v>0</v>
      </c>
      <c r="V38" s="187">
        <v>0.6</v>
      </c>
      <c r="W38" s="187">
        <v>1</v>
      </c>
      <c r="X38" s="187">
        <v>0</v>
      </c>
      <c r="Y38" s="187">
        <v>0</v>
      </c>
      <c r="Z38" s="187">
        <v>0.32</v>
      </c>
      <c r="AA38" s="187"/>
      <c r="AB38" s="187"/>
      <c r="AC38" s="187"/>
      <c r="AD38" s="187"/>
      <c r="AE38" s="187"/>
      <c r="AF38" s="187"/>
      <c r="AG38" s="187">
        <v>0</v>
      </c>
      <c r="AH38" s="187">
        <v>0</v>
      </c>
      <c r="AI38" s="187">
        <v>1</v>
      </c>
      <c r="AJ38" s="187">
        <v>1</v>
      </c>
      <c r="AK38" s="187">
        <v>1</v>
      </c>
      <c r="AL38" s="187">
        <v>1</v>
      </c>
      <c r="AM38" s="187">
        <v>1</v>
      </c>
      <c r="AN38" s="187">
        <v>1</v>
      </c>
      <c r="AO38" s="187">
        <v>0</v>
      </c>
      <c r="AP38" s="187">
        <v>0</v>
      </c>
      <c r="AQ38" s="187">
        <v>0</v>
      </c>
      <c r="AR38" s="187">
        <v>0</v>
      </c>
      <c r="AS38" s="187">
        <v>0</v>
      </c>
      <c r="AT38" s="187">
        <v>1</v>
      </c>
      <c r="AU38" s="187">
        <v>0</v>
      </c>
      <c r="AV38" s="187">
        <v>0.6</v>
      </c>
      <c r="AW38" s="187">
        <v>1</v>
      </c>
      <c r="AX38" s="187">
        <v>0</v>
      </c>
      <c r="AY38" s="187">
        <v>0</v>
      </c>
      <c r="AZ38" s="187">
        <v>0.32</v>
      </c>
      <c r="BA38" s="187">
        <v>0</v>
      </c>
      <c r="BB38" s="5"/>
      <c r="BC38" s="5"/>
      <c r="BD38" s="5"/>
      <c r="BE38" s="5"/>
      <c r="BF38" s="187">
        <f>G38</f>
        <v>0</v>
      </c>
      <c r="BG38" s="187">
        <f t="shared" si="100"/>
        <v>0</v>
      </c>
      <c r="BH38" s="187">
        <f t="shared" si="100"/>
        <v>1</v>
      </c>
      <c r="BI38" s="187">
        <f t="shared" si="100"/>
        <v>1</v>
      </c>
      <c r="BJ38" s="187">
        <f t="shared" si="100"/>
        <v>1</v>
      </c>
      <c r="BK38" s="187">
        <f t="shared" si="100"/>
        <v>1</v>
      </c>
      <c r="BL38" s="187">
        <f t="shared" si="100"/>
        <v>1</v>
      </c>
      <c r="BM38" s="187">
        <f t="shared" si="100"/>
        <v>1</v>
      </c>
      <c r="BN38" s="187">
        <f t="shared" si="100"/>
        <v>0</v>
      </c>
      <c r="BO38" s="187">
        <f t="shared" si="100"/>
        <v>0</v>
      </c>
      <c r="BP38" s="187">
        <f t="shared" si="100"/>
        <v>0</v>
      </c>
      <c r="BQ38" s="187">
        <f t="shared" si="100"/>
        <v>0</v>
      </c>
      <c r="BR38" s="187">
        <f t="shared" si="100"/>
        <v>0</v>
      </c>
      <c r="BS38" s="187">
        <f t="shared" si="100"/>
        <v>1</v>
      </c>
      <c r="BT38" s="187">
        <f t="shared" si="100"/>
        <v>0</v>
      </c>
      <c r="BU38" s="187">
        <f t="shared" si="100"/>
        <v>0.6</v>
      </c>
      <c r="BV38" s="187">
        <f t="shared" si="100"/>
        <v>1</v>
      </c>
      <c r="BW38" s="187">
        <f t="shared" si="101"/>
        <v>0</v>
      </c>
      <c r="BX38" s="187">
        <f t="shared" si="101"/>
        <v>0</v>
      </c>
      <c r="BY38" s="187">
        <f>BY37</f>
        <v>0.32</v>
      </c>
      <c r="CQ38" s="7"/>
      <c r="CS38" s="136"/>
      <c r="DE38" s="86"/>
      <c r="DF38" s="86"/>
      <c r="DG38" s="137"/>
      <c r="DH38" s="7"/>
      <c r="DI38" s="90"/>
      <c r="DJ38" s="90"/>
    </row>
    <row r="39" spans="1:114" x14ac:dyDescent="0.3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114" ht="15" thickBot="1" x14ac:dyDescent="0.35">
      <c r="G40" s="5"/>
      <c r="H40" s="5"/>
      <c r="I40" s="5"/>
      <c r="J40" s="5"/>
      <c r="K40" s="4"/>
      <c r="L40" s="4"/>
      <c r="M40" s="4"/>
      <c r="N40" s="4"/>
      <c r="O40" s="309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114" x14ac:dyDescent="0.3">
      <c r="A41" s="57"/>
      <c r="B41" s="188"/>
      <c r="C41" s="188"/>
      <c r="D41" s="188"/>
      <c r="E41" s="188"/>
      <c r="F41" s="189"/>
      <c r="G41" s="314" t="s">
        <v>118</v>
      </c>
      <c r="H41" s="315"/>
      <c r="I41" s="315"/>
      <c r="J41" s="316"/>
      <c r="K41" s="317" t="s">
        <v>119</v>
      </c>
      <c r="L41" s="318"/>
      <c r="M41" s="318"/>
      <c r="N41" s="318"/>
      <c r="O41" s="318"/>
      <c r="P41" s="318"/>
      <c r="Q41" s="318"/>
      <c r="R41" s="318"/>
      <c r="S41" s="319"/>
      <c r="T41" s="320" t="s">
        <v>120</v>
      </c>
      <c r="U41" s="321"/>
      <c r="V41" s="322" t="s">
        <v>121</v>
      </c>
      <c r="W41" s="323"/>
      <c r="BD41" s="324" t="s">
        <v>122</v>
      </c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6"/>
      <c r="BU41" s="5"/>
    </row>
    <row r="42" spans="1:114" ht="57.6" x14ac:dyDescent="0.3">
      <c r="A42" s="17" t="s">
        <v>19</v>
      </c>
      <c r="B42" s="190" t="s">
        <v>20</v>
      </c>
      <c r="C42" s="191" t="s">
        <v>123</v>
      </c>
      <c r="D42" s="192"/>
      <c r="E42" s="192"/>
      <c r="F42" s="193" t="s">
        <v>124</v>
      </c>
      <c r="G42" s="194" t="s">
        <v>125</v>
      </c>
      <c r="H42" s="195" t="s">
        <v>126</v>
      </c>
      <c r="I42" s="196" t="s">
        <v>127</v>
      </c>
      <c r="J42" s="195" t="s">
        <v>128</v>
      </c>
      <c r="K42" s="197" t="s">
        <v>129</v>
      </c>
      <c r="L42" s="198" t="s">
        <v>130</v>
      </c>
      <c r="M42" s="198" t="s">
        <v>131</v>
      </c>
      <c r="N42" s="198" t="s">
        <v>132</v>
      </c>
      <c r="O42" s="199" t="s">
        <v>133</v>
      </c>
      <c r="P42" s="198" t="s">
        <v>134</v>
      </c>
      <c r="Q42" s="198" t="s">
        <v>135</v>
      </c>
      <c r="R42" s="198" t="s">
        <v>136</v>
      </c>
      <c r="S42" s="200" t="s">
        <v>137</v>
      </c>
      <c r="T42" s="22" t="s">
        <v>138</v>
      </c>
      <c r="U42" s="201" t="s">
        <v>139</v>
      </c>
      <c r="V42" s="202" t="s">
        <v>140</v>
      </c>
      <c r="W42" s="203" t="s">
        <v>141</v>
      </c>
      <c r="BD42" s="351" t="s">
        <v>142</v>
      </c>
      <c r="BE42" s="352"/>
      <c r="BF42" s="352"/>
      <c r="BG42" s="204" t="s">
        <v>143</v>
      </c>
      <c r="BH42" s="204" t="s">
        <v>27</v>
      </c>
      <c r="BI42" s="204" t="s">
        <v>28</v>
      </c>
      <c r="BJ42" s="204" t="s">
        <v>29</v>
      </c>
      <c r="BK42" s="204" t="s">
        <v>144</v>
      </c>
      <c r="BL42" s="204" t="s">
        <v>145</v>
      </c>
      <c r="BM42" s="204" t="s">
        <v>146</v>
      </c>
      <c r="BN42" s="204" t="s">
        <v>147</v>
      </c>
      <c r="BO42" s="204" t="s">
        <v>36</v>
      </c>
      <c r="BP42" s="204" t="s">
        <v>37</v>
      </c>
      <c r="BQ42" s="204" t="s">
        <v>148</v>
      </c>
      <c r="BR42" s="204" t="s">
        <v>149</v>
      </c>
      <c r="BS42" s="204" t="s">
        <v>44</v>
      </c>
      <c r="BT42" s="205" t="s">
        <v>150</v>
      </c>
      <c r="BU42" t="s">
        <v>65</v>
      </c>
    </row>
    <row r="43" spans="1:114" x14ac:dyDescent="0.3">
      <c r="A43" s="91">
        <v>37101</v>
      </c>
      <c r="B43" s="206" t="s">
        <v>75</v>
      </c>
      <c r="C43" s="207" t="s">
        <v>151</v>
      </c>
      <c r="D43" s="208"/>
      <c r="E43" s="208"/>
      <c r="F43" s="209">
        <v>48560579</v>
      </c>
      <c r="G43" s="210">
        <v>2</v>
      </c>
      <c r="H43" s="211">
        <v>0.15</v>
      </c>
      <c r="I43" s="210">
        <v>1.0163448275862068</v>
      </c>
      <c r="J43" s="211">
        <v>0.15610344827586206</v>
      </c>
      <c r="K43" s="212">
        <v>2.1217670099467307</v>
      </c>
      <c r="L43" s="213">
        <v>8.2522261246751452</v>
      </c>
      <c r="M43" s="213">
        <v>0</v>
      </c>
      <c r="N43" s="213">
        <v>4.1053176770714309E-2</v>
      </c>
      <c r="O43" s="213">
        <v>0</v>
      </c>
      <c r="P43" s="213">
        <v>0</v>
      </c>
      <c r="Q43" s="213">
        <v>0</v>
      </c>
      <c r="R43" s="213">
        <f t="shared" ref="R43:R56" si="102">SUM(K43:Q43)</f>
        <v>10.415046311392592</v>
      </c>
      <c r="S43" s="189"/>
      <c r="T43" s="214">
        <f t="shared" ref="T43:T56" si="103">AE5*1000/(R43*1000000)</f>
        <v>2.3408478573379652</v>
      </c>
      <c r="U43" s="215">
        <f t="shared" ref="U43:U56" si="104">AE23*1000/(R43*1000000)</f>
        <v>0.14779462199460566</v>
      </c>
      <c r="V43" s="216"/>
      <c r="W43" s="215"/>
      <c r="Y43" s="10"/>
      <c r="BD43" s="217">
        <f>BD5</f>
        <v>37101</v>
      </c>
      <c r="BE43" s="10" t="str">
        <f>BE5</f>
        <v>Tochten ABC1</v>
      </c>
      <c r="BF43" s="90"/>
      <c r="BG43" s="90">
        <f>BF5+BG5</f>
        <v>2.6443073963432033E-2</v>
      </c>
      <c r="BH43" s="90">
        <f t="shared" ref="BH43:BM43" si="105">BH5</f>
        <v>3.1165250354115606E-3</v>
      </c>
      <c r="BI43" s="90">
        <f t="shared" si="105"/>
        <v>3.8989271673365488E-5</v>
      </c>
      <c r="BJ43" s="90">
        <f t="shared" si="105"/>
        <v>2.9727808743044686E-2</v>
      </c>
      <c r="BK43" s="90">
        <f t="shared" si="105"/>
        <v>9.2742855688958195E-3</v>
      </c>
      <c r="BL43" s="90">
        <f t="shared" si="105"/>
        <v>6.1437317445271845E-2</v>
      </c>
      <c r="BM43" s="90">
        <f t="shared" si="105"/>
        <v>0.78714348918056209</v>
      </c>
      <c r="BN43" s="90">
        <f>BN5+BO5+BP5</f>
        <v>1.5321180848857412E-2</v>
      </c>
      <c r="BO43" s="90">
        <f t="shared" ref="BO43:BQ51" si="106">BQ5</f>
        <v>0</v>
      </c>
      <c r="BP43" s="90">
        <f t="shared" si="106"/>
        <v>0</v>
      </c>
      <c r="BQ43" s="90">
        <f t="shared" si="106"/>
        <v>5.4965155222627814E-2</v>
      </c>
      <c r="BR43" s="90">
        <f t="shared" ref="BR43:BR51" si="107">BU5</f>
        <v>1.0737889134005371E-2</v>
      </c>
      <c r="BS43" s="90">
        <f t="shared" ref="BS43:BS51" si="108">BY5</f>
        <v>0</v>
      </c>
      <c r="BT43" s="218">
        <f t="shared" ref="BT43:BT51" si="109">BT5+BV5+BW5+BX5</f>
        <v>1.7942855862181526E-3</v>
      </c>
      <c r="BU43" s="90">
        <f>SUM(BF43:BT43)</f>
        <v>1.0000000000000002</v>
      </c>
      <c r="BW43" s="90"/>
    </row>
    <row r="44" spans="1:114" x14ac:dyDescent="0.3">
      <c r="A44" s="91">
        <v>37102</v>
      </c>
      <c r="B44" s="206" t="s">
        <v>77</v>
      </c>
      <c r="C44" s="207" t="s">
        <v>152</v>
      </c>
      <c r="D44" s="208"/>
      <c r="E44" s="208"/>
      <c r="F44" s="209">
        <v>104548911</v>
      </c>
      <c r="G44" s="210">
        <v>2.4</v>
      </c>
      <c r="H44" s="211">
        <v>0.15</v>
      </c>
      <c r="I44" s="210">
        <v>2.2942466329966331</v>
      </c>
      <c r="J44" s="211">
        <v>9.0193602693602701E-2</v>
      </c>
      <c r="K44" s="219">
        <v>6.3274020128291015</v>
      </c>
      <c r="L44" s="220">
        <v>15.196615988899131</v>
      </c>
      <c r="M44" s="220">
        <v>0</v>
      </c>
      <c r="N44" s="220">
        <v>0.13042587562963481</v>
      </c>
      <c r="O44" s="220">
        <v>0</v>
      </c>
      <c r="P44" s="220">
        <v>0</v>
      </c>
      <c r="Q44" s="220">
        <v>10.41504631139259</v>
      </c>
      <c r="R44" s="220">
        <f t="shared" si="102"/>
        <v>32.069490188750457</v>
      </c>
      <c r="S44" s="206"/>
      <c r="T44" s="210">
        <f t="shared" si="103"/>
        <v>4.7845318046704239</v>
      </c>
      <c r="U44" s="215">
        <f t="shared" si="104"/>
        <v>0.13372478947650501</v>
      </c>
      <c r="V44" s="221"/>
      <c r="W44" s="215"/>
      <c r="Y44" s="10"/>
      <c r="BD44" s="217">
        <f t="shared" ref="BD44:BM51" si="110">BD6</f>
        <v>37102</v>
      </c>
      <c r="BE44" s="10" t="str">
        <f t="shared" si="110"/>
        <v>Tochten ABC2</v>
      </c>
      <c r="BF44" s="90"/>
      <c r="BG44" s="90">
        <f t="shared" ref="BG44:BG51" si="111">BF6+BG6</f>
        <v>5.7911947762668267E-2</v>
      </c>
      <c r="BH44" s="90">
        <f t="shared" si="110"/>
        <v>1.1411020006001244E-2</v>
      </c>
      <c r="BI44" s="90">
        <f t="shared" si="110"/>
        <v>7.2387336175983383E-5</v>
      </c>
      <c r="BJ44" s="90">
        <f t="shared" si="110"/>
        <v>5.6124005970392944E-2</v>
      </c>
      <c r="BK44" s="90">
        <f t="shared" si="110"/>
        <v>2.8679685881486741E-2</v>
      </c>
      <c r="BL44" s="90">
        <f t="shared" si="110"/>
        <v>1.3920864045967341E-2</v>
      </c>
      <c r="BM44" s="90">
        <f t="shared" si="110"/>
        <v>0.76245116968617088</v>
      </c>
      <c r="BN44" s="90">
        <f t="shared" ref="BN44:BN51" si="112">BN6+BO6+BP6</f>
        <v>1.3159256983771848E-2</v>
      </c>
      <c r="BO44" s="90">
        <f t="shared" si="106"/>
        <v>0</v>
      </c>
      <c r="BP44" s="90">
        <f t="shared" si="106"/>
        <v>0</v>
      </c>
      <c r="BQ44" s="90">
        <f t="shared" si="106"/>
        <v>4.6356393716536166E-2</v>
      </c>
      <c r="BR44" s="90">
        <f t="shared" si="107"/>
        <v>8.3755152479281225E-3</v>
      </c>
      <c r="BS44" s="90">
        <f t="shared" si="108"/>
        <v>0</v>
      </c>
      <c r="BT44" s="218">
        <f t="shared" si="109"/>
        <v>1.5377533629005254E-3</v>
      </c>
      <c r="BU44" s="90">
        <f t="shared" ref="BU44:BU55" si="113">SUM(BF44:BT44)</f>
        <v>1.0000000000000002</v>
      </c>
      <c r="BW44" s="90"/>
    </row>
    <row r="45" spans="1:114" x14ac:dyDescent="0.3">
      <c r="A45" s="91">
        <v>37103</v>
      </c>
      <c r="B45" s="206" t="s">
        <v>79</v>
      </c>
      <c r="C45" s="207" t="s">
        <v>153</v>
      </c>
      <c r="D45" s="208"/>
      <c r="E45" s="208"/>
      <c r="F45" s="209">
        <v>76103528</v>
      </c>
      <c r="G45" s="210">
        <v>4</v>
      </c>
      <c r="H45" s="211">
        <v>0.3</v>
      </c>
      <c r="I45" s="210">
        <v>1.1566666666666667</v>
      </c>
      <c r="J45" s="211">
        <v>9.7083333333333341E-2</v>
      </c>
      <c r="K45" s="219">
        <v>4.0132888103110478</v>
      </c>
      <c r="L45" s="220">
        <v>0.5071554360866547</v>
      </c>
      <c r="M45" s="220">
        <v>0</v>
      </c>
      <c r="N45" s="220">
        <v>0.76832393230345819</v>
      </c>
      <c r="O45" s="220">
        <v>0</v>
      </c>
      <c r="P45" s="220">
        <v>0.43535699999999999</v>
      </c>
      <c r="Q45" s="220">
        <v>0</v>
      </c>
      <c r="R45" s="220">
        <f t="shared" si="102"/>
        <v>5.7241251787011604</v>
      </c>
      <c r="S45" s="206"/>
      <c r="T45" s="210">
        <f t="shared" si="103"/>
        <v>0.48275071052967916</v>
      </c>
      <c r="U45" s="215">
        <f t="shared" si="104"/>
        <v>0.48480747592540335</v>
      </c>
      <c r="V45" s="221"/>
      <c r="W45" s="215"/>
      <c r="Y45" s="10"/>
      <c r="BD45" s="217">
        <f t="shared" si="110"/>
        <v>37103</v>
      </c>
      <c r="BE45" s="10" t="str">
        <f t="shared" si="110"/>
        <v>Tochten DE Almere</v>
      </c>
      <c r="BF45" s="90"/>
      <c r="BG45" s="90">
        <f t="shared" si="111"/>
        <v>5.3935912273221462E-2</v>
      </c>
      <c r="BH45" s="90">
        <f t="shared" si="110"/>
        <v>1.2778916450650574E-2</v>
      </c>
      <c r="BI45" s="90">
        <f t="shared" si="110"/>
        <v>3.0913921514793293E-5</v>
      </c>
      <c r="BJ45" s="90">
        <f t="shared" si="110"/>
        <v>6.6402320797708497E-2</v>
      </c>
      <c r="BK45" s="90">
        <f t="shared" si="110"/>
        <v>1.951019861204038E-2</v>
      </c>
      <c r="BL45" s="90">
        <f t="shared" si="110"/>
        <v>0.11580941016990216</v>
      </c>
      <c r="BM45" s="90">
        <f t="shared" si="110"/>
        <v>9.6547372954490035E-2</v>
      </c>
      <c r="BN45" s="90">
        <f t="shared" si="112"/>
        <v>9.8933030061043887E-3</v>
      </c>
      <c r="BO45" s="90">
        <f t="shared" si="106"/>
        <v>0</v>
      </c>
      <c r="BP45" s="90">
        <f t="shared" si="106"/>
        <v>0</v>
      </c>
      <c r="BQ45" s="90">
        <f t="shared" si="106"/>
        <v>0.18733054597289753</v>
      </c>
      <c r="BR45" s="90">
        <f t="shared" si="107"/>
        <v>0.40824715258671063</v>
      </c>
      <c r="BS45" s="90">
        <f t="shared" si="108"/>
        <v>1.3725575709750946E-2</v>
      </c>
      <c r="BT45" s="218">
        <f t="shared" si="109"/>
        <v>1.578837754500842E-2</v>
      </c>
      <c r="BU45" s="90">
        <f t="shared" si="113"/>
        <v>0.99999999999999978</v>
      </c>
      <c r="BW45" s="90"/>
    </row>
    <row r="46" spans="1:114" x14ac:dyDescent="0.3">
      <c r="A46" s="91">
        <v>37104</v>
      </c>
      <c r="B46" s="206" t="s">
        <v>81</v>
      </c>
      <c r="C46" s="207" t="s">
        <v>153</v>
      </c>
      <c r="D46" s="208"/>
      <c r="E46" s="208"/>
      <c r="F46" s="209">
        <v>96481056</v>
      </c>
      <c r="G46" s="210">
        <v>4</v>
      </c>
      <c r="H46" s="211">
        <v>0.3</v>
      </c>
      <c r="I46" s="210">
        <v>4.375916666666666</v>
      </c>
      <c r="J46" s="211">
        <v>0.29466666666666663</v>
      </c>
      <c r="K46" s="219">
        <v>3.7227230757074823</v>
      </c>
      <c r="L46" s="220">
        <v>3.7560154986981922</v>
      </c>
      <c r="M46" s="220">
        <v>0</v>
      </c>
      <c r="N46" s="220">
        <v>0.17522942417711909</v>
      </c>
      <c r="O46" s="220">
        <v>0</v>
      </c>
      <c r="P46" s="220">
        <v>0</v>
      </c>
      <c r="Q46" s="220">
        <v>0</v>
      </c>
      <c r="R46" s="220">
        <f t="shared" si="102"/>
        <v>7.653967998582794</v>
      </c>
      <c r="S46" s="206"/>
      <c r="T46" s="210">
        <f t="shared" si="103"/>
        <v>4.39794267052363</v>
      </c>
      <c r="U46" s="215">
        <f t="shared" si="104"/>
        <v>0.22462089367435856</v>
      </c>
      <c r="V46" s="221"/>
      <c r="W46" s="215"/>
      <c r="Y46" s="10"/>
      <c r="BD46" s="217">
        <f t="shared" si="110"/>
        <v>37104</v>
      </c>
      <c r="BE46" s="10" t="str">
        <f t="shared" si="110"/>
        <v>Tochten DE Zuidlob</v>
      </c>
      <c r="BF46" s="90"/>
      <c r="BG46" s="90">
        <f t="shared" si="111"/>
        <v>7.3634003232956269E-2</v>
      </c>
      <c r="BH46" s="90">
        <f t="shared" si="110"/>
        <v>2.5782477372992916E-2</v>
      </c>
      <c r="BI46" s="90">
        <f t="shared" si="110"/>
        <v>5.2301557408176629E-5</v>
      </c>
      <c r="BJ46" s="90">
        <f t="shared" si="110"/>
        <v>3.6068959620421226E-2</v>
      </c>
      <c r="BK46" s="90">
        <f t="shared" si="110"/>
        <v>5.3910459482926179E-2</v>
      </c>
      <c r="BL46" s="90">
        <f t="shared" si="110"/>
        <v>2.7635880070011345E-2</v>
      </c>
      <c r="BM46" s="90">
        <f t="shared" si="110"/>
        <v>0.52819609134883339</v>
      </c>
      <c r="BN46" s="90">
        <f t="shared" si="112"/>
        <v>2.4372256557482121E-2</v>
      </c>
      <c r="BO46" s="90">
        <f t="shared" si="106"/>
        <v>0</v>
      </c>
      <c r="BP46" s="90">
        <f t="shared" si="106"/>
        <v>0</v>
      </c>
      <c r="BQ46" s="90">
        <f t="shared" si="106"/>
        <v>0.10473185928890442</v>
      </c>
      <c r="BR46" s="90">
        <f t="shared" si="107"/>
        <v>0.12350677061159093</v>
      </c>
      <c r="BS46" s="90">
        <f t="shared" si="108"/>
        <v>0</v>
      </c>
      <c r="BT46" s="218">
        <f t="shared" si="109"/>
        <v>2.1089408564730766E-3</v>
      </c>
      <c r="BU46" s="90">
        <f t="shared" si="113"/>
        <v>0.99999999999999989</v>
      </c>
      <c r="BW46" s="90"/>
    </row>
    <row r="47" spans="1:114" x14ac:dyDescent="0.3">
      <c r="A47" s="91">
        <v>37105</v>
      </c>
      <c r="B47" s="206" t="s">
        <v>83</v>
      </c>
      <c r="C47" s="207" t="s">
        <v>154</v>
      </c>
      <c r="D47" s="208"/>
      <c r="E47" s="208"/>
      <c r="F47" s="209">
        <v>153247495</v>
      </c>
      <c r="G47" s="210">
        <v>2.5</v>
      </c>
      <c r="H47" s="211">
        <v>0.22</v>
      </c>
      <c r="I47" s="210">
        <v>2.7940563791554358</v>
      </c>
      <c r="J47" s="211">
        <v>0.16321125336927225</v>
      </c>
      <c r="K47" s="219">
        <v>8.3073083372982914</v>
      </c>
      <c r="L47" s="220">
        <v>12.7812859450387</v>
      </c>
      <c r="M47" s="220">
        <v>0</v>
      </c>
      <c r="N47" s="220">
        <v>0.47016937605024439</v>
      </c>
      <c r="O47" s="220">
        <v>0</v>
      </c>
      <c r="P47" s="220">
        <v>0.34457037593592837</v>
      </c>
      <c r="Q47" s="220">
        <v>3.0979540399083221</v>
      </c>
      <c r="R47" s="220">
        <f t="shared" si="102"/>
        <v>25.001288074231486</v>
      </c>
      <c r="S47" s="206"/>
      <c r="T47" s="210">
        <f t="shared" si="103"/>
        <v>4.7681678062636514</v>
      </c>
      <c r="U47" s="215">
        <f t="shared" si="104"/>
        <v>0.17559214985643615</v>
      </c>
      <c r="V47" s="221"/>
      <c r="W47" s="215"/>
      <c r="Y47" s="10"/>
      <c r="BD47" s="217">
        <f t="shared" si="110"/>
        <v>37105</v>
      </c>
      <c r="BE47" s="10" t="str">
        <f t="shared" si="110"/>
        <v>Tochten FGIK</v>
      </c>
      <c r="BF47" s="90"/>
      <c r="BG47" s="90">
        <f t="shared" si="111"/>
        <v>7.025232121937644E-2</v>
      </c>
      <c r="BH47" s="90">
        <f t="shared" si="110"/>
        <v>3.0146324359178404E-2</v>
      </c>
      <c r="BI47" s="90">
        <f t="shared" si="110"/>
        <v>5.0236116412099786E-5</v>
      </c>
      <c r="BJ47" s="90">
        <f t="shared" si="110"/>
        <v>2.881759752919065E-2</v>
      </c>
      <c r="BK47" s="90">
        <f t="shared" si="110"/>
        <v>4.3898690306290324E-2</v>
      </c>
      <c r="BL47" s="90">
        <f t="shared" si="110"/>
        <v>1.0863206145248249E-2</v>
      </c>
      <c r="BM47" s="90">
        <f t="shared" si="110"/>
        <v>0.70047182819719289</v>
      </c>
      <c r="BN47" s="90">
        <f t="shared" si="112"/>
        <v>1.6398052826780543E-2</v>
      </c>
      <c r="BO47" s="90">
        <f t="shared" si="106"/>
        <v>7.4479164573751009E-4</v>
      </c>
      <c r="BP47" s="90">
        <f t="shared" si="106"/>
        <v>0</v>
      </c>
      <c r="BQ47" s="90">
        <f t="shared" si="106"/>
        <v>3.0803171161987497E-2</v>
      </c>
      <c r="BR47" s="90">
        <f t="shared" si="107"/>
        <v>5.5728149107832387E-2</v>
      </c>
      <c r="BS47" s="90">
        <f t="shared" si="108"/>
        <v>8.0685220591751056E-3</v>
      </c>
      <c r="BT47" s="218">
        <f t="shared" si="109"/>
        <v>3.7571093255979208E-3</v>
      </c>
      <c r="BU47" s="90">
        <f t="shared" si="113"/>
        <v>1</v>
      </c>
      <c r="BW47" s="90"/>
    </row>
    <row r="48" spans="1:114" x14ac:dyDescent="0.3">
      <c r="A48" s="91">
        <v>37106</v>
      </c>
      <c r="B48" s="206" t="s">
        <v>85</v>
      </c>
      <c r="C48" s="207" t="s">
        <v>154</v>
      </c>
      <c r="D48" s="208"/>
      <c r="E48" s="208"/>
      <c r="F48" s="209">
        <v>68508287</v>
      </c>
      <c r="G48" s="210">
        <v>2.5</v>
      </c>
      <c r="H48" s="211">
        <v>0.22</v>
      </c>
      <c r="I48" s="210">
        <v>3.467121998371999</v>
      </c>
      <c r="J48" s="211">
        <v>0.18519892144892144</v>
      </c>
      <c r="K48" s="219">
        <v>4.4544123354486427</v>
      </c>
      <c r="L48" s="220">
        <v>0.3308335473955572</v>
      </c>
      <c r="M48" s="220">
        <v>0</v>
      </c>
      <c r="N48" s="220">
        <v>5.417947798940926E-2</v>
      </c>
      <c r="O48" s="220">
        <v>0</v>
      </c>
      <c r="P48" s="220">
        <v>0</v>
      </c>
      <c r="Q48" s="220">
        <v>0.97364269825690097</v>
      </c>
      <c r="R48" s="220">
        <f t="shared" si="102"/>
        <v>5.8130680590905106</v>
      </c>
      <c r="S48" s="206"/>
      <c r="T48" s="210">
        <f t="shared" si="103"/>
        <v>2.1874492164745485</v>
      </c>
      <c r="U48" s="215">
        <f t="shared" si="104"/>
        <v>0.10296077967929224</v>
      </c>
      <c r="V48" s="221"/>
      <c r="W48" s="215"/>
      <c r="Y48" s="10"/>
      <c r="BD48" s="217">
        <f t="shared" si="110"/>
        <v>37106</v>
      </c>
      <c r="BE48" s="10" t="str">
        <f t="shared" si="110"/>
        <v>Tochten FGIK ZUID</v>
      </c>
      <c r="BF48" s="90"/>
      <c r="BG48" s="90">
        <f t="shared" si="111"/>
        <v>0.35274139087606471</v>
      </c>
      <c r="BH48" s="90">
        <f t="shared" si="110"/>
        <v>5.9366444699445499E-2</v>
      </c>
      <c r="BI48" s="90">
        <f t="shared" si="110"/>
        <v>8.5100681537542272E-5</v>
      </c>
      <c r="BJ48" s="90">
        <f t="shared" si="110"/>
        <v>5.0887295265286868E-2</v>
      </c>
      <c r="BK48" s="90">
        <f t="shared" si="110"/>
        <v>0.12534544178090046</v>
      </c>
      <c r="BL48" s="90">
        <f t="shared" si="110"/>
        <v>2.825975954709007E-2</v>
      </c>
      <c r="BM48" s="90">
        <f t="shared" si="110"/>
        <v>0.24035836481995512</v>
      </c>
      <c r="BN48" s="90">
        <f t="shared" si="112"/>
        <v>6.0236347574778644E-2</v>
      </c>
      <c r="BO48" s="90">
        <f t="shared" si="106"/>
        <v>1.5276582494240278E-3</v>
      </c>
      <c r="BP48" s="90">
        <f t="shared" si="106"/>
        <v>0</v>
      </c>
      <c r="BQ48" s="90">
        <f t="shared" si="106"/>
        <v>4.6461711591253479E-2</v>
      </c>
      <c r="BR48" s="90">
        <f t="shared" si="107"/>
        <v>1.9056813051747321E-2</v>
      </c>
      <c r="BS48" s="90">
        <f t="shared" si="108"/>
        <v>1.1055245922312353E-2</v>
      </c>
      <c r="BT48" s="218">
        <f t="shared" si="109"/>
        <v>4.6184259402036847E-3</v>
      </c>
      <c r="BU48" s="90">
        <f t="shared" si="113"/>
        <v>0.99999999999999978</v>
      </c>
      <c r="BW48" s="90"/>
    </row>
    <row r="49" spans="1:75" x14ac:dyDescent="0.3">
      <c r="A49" s="91">
        <v>37107</v>
      </c>
      <c r="B49" s="206" t="s">
        <v>87</v>
      </c>
      <c r="C49" s="207" t="s">
        <v>155</v>
      </c>
      <c r="D49" s="208"/>
      <c r="E49" s="208"/>
      <c r="F49" s="209">
        <v>82260987</v>
      </c>
      <c r="G49" s="210">
        <v>2.4</v>
      </c>
      <c r="H49" s="211">
        <v>0.22</v>
      </c>
      <c r="I49" s="210">
        <v>1.7832986111111113</v>
      </c>
      <c r="J49" s="211">
        <v>6.5138888888888899E-2</v>
      </c>
      <c r="K49" s="219">
        <v>3.9980873024499779</v>
      </c>
      <c r="L49" s="220">
        <v>8.7859191894699595</v>
      </c>
      <c r="M49" s="220">
        <v>0</v>
      </c>
      <c r="N49" s="220">
        <v>6.9214450558781782E-2</v>
      </c>
      <c r="O49" s="220">
        <v>0</v>
      </c>
      <c r="P49" s="220">
        <v>0</v>
      </c>
      <c r="Q49" s="220">
        <v>17.083003705780175</v>
      </c>
      <c r="R49" s="220">
        <f t="shared" si="102"/>
        <v>29.936224648258893</v>
      </c>
      <c r="S49" s="95"/>
      <c r="T49" s="210">
        <f t="shared" si="103"/>
        <v>5.7987981444587087</v>
      </c>
      <c r="U49" s="215">
        <f t="shared" si="104"/>
        <v>0.11368926243311994</v>
      </c>
      <c r="V49" s="221"/>
      <c r="W49" s="215"/>
      <c r="Y49" s="10"/>
      <c r="BD49" s="217">
        <f t="shared" si="110"/>
        <v>37107</v>
      </c>
      <c r="BE49" s="10" t="str">
        <f t="shared" si="110"/>
        <v>Tochten H</v>
      </c>
      <c r="BF49" s="90"/>
      <c r="BG49" s="90">
        <f t="shared" si="111"/>
        <v>4.9545840283928368E-2</v>
      </c>
      <c r="BH49" s="90">
        <f t="shared" si="110"/>
        <v>1.8500276610304085E-2</v>
      </c>
      <c r="BI49" s="90">
        <f t="shared" si="110"/>
        <v>3.5148010402569176E-5</v>
      </c>
      <c r="BJ49" s="90">
        <f t="shared" si="110"/>
        <v>1.7049900894365904E-2</v>
      </c>
      <c r="BK49" s="90">
        <f t="shared" si="110"/>
        <v>3.0168930818457149E-2</v>
      </c>
      <c r="BL49" s="90">
        <f t="shared" si="110"/>
        <v>4.8081740025468856E-3</v>
      </c>
      <c r="BM49" s="90">
        <f t="shared" si="110"/>
        <v>0.80338484676315658</v>
      </c>
      <c r="BN49" s="90">
        <f t="shared" si="112"/>
        <v>1.3824837326402223E-2</v>
      </c>
      <c r="BO49" s="90">
        <f t="shared" si="106"/>
        <v>3.9369928306154066E-3</v>
      </c>
      <c r="BP49" s="90">
        <f t="shared" si="106"/>
        <v>0</v>
      </c>
      <c r="BQ49" s="90">
        <f t="shared" si="106"/>
        <v>1.8253321110495116E-2</v>
      </c>
      <c r="BR49" s="90">
        <f t="shared" si="107"/>
        <v>9.8967412335273994E-3</v>
      </c>
      <c r="BS49" s="90">
        <f t="shared" si="108"/>
        <v>2.8490942888073259E-2</v>
      </c>
      <c r="BT49" s="218">
        <f t="shared" si="109"/>
        <v>2.1040472277250384E-3</v>
      </c>
      <c r="BU49" s="90">
        <f t="shared" si="113"/>
        <v>1</v>
      </c>
      <c r="BW49" s="90"/>
    </row>
    <row r="50" spans="1:75" x14ac:dyDescent="0.3">
      <c r="A50" s="91">
        <v>37108</v>
      </c>
      <c r="B50" s="206" t="s">
        <v>156</v>
      </c>
      <c r="C50" s="207" t="s">
        <v>157</v>
      </c>
      <c r="D50" s="208"/>
      <c r="E50" s="208"/>
      <c r="F50" s="209">
        <v>124006221</v>
      </c>
      <c r="G50" s="210">
        <v>5</v>
      </c>
      <c r="H50" s="211">
        <v>0.27</v>
      </c>
      <c r="I50" s="210">
        <v>7.181021148989899</v>
      </c>
      <c r="J50" s="211">
        <v>0.26679450757575757</v>
      </c>
      <c r="K50" s="219">
        <v>10.018126118157079</v>
      </c>
      <c r="L50" s="220">
        <v>6.8737323656524429</v>
      </c>
      <c r="M50" s="220">
        <v>0</v>
      </c>
      <c r="N50" s="220">
        <v>0.28864468496211854</v>
      </c>
      <c r="O50" s="220">
        <v>0</v>
      </c>
      <c r="P50" s="220">
        <v>0.99866571183333341</v>
      </c>
      <c r="Q50" s="220">
        <v>0</v>
      </c>
      <c r="R50" s="220">
        <f t="shared" si="102"/>
        <v>18.179168880604973</v>
      </c>
      <c r="S50" s="206"/>
      <c r="T50" s="210">
        <f t="shared" si="103"/>
        <v>7.3785252773160295</v>
      </c>
      <c r="U50" s="215">
        <f t="shared" si="104"/>
        <v>0.15314956662950729</v>
      </c>
      <c r="V50" s="221"/>
      <c r="W50" s="215"/>
      <c r="Y50" s="10"/>
      <c r="BD50" s="217">
        <f t="shared" si="110"/>
        <v>37108</v>
      </c>
      <c r="BE50" s="10" t="str">
        <f t="shared" si="110"/>
        <v>Tochten  J</v>
      </c>
      <c r="BF50" s="90"/>
      <c r="BG50" s="90">
        <f t="shared" si="111"/>
        <v>0.11405409997157437</v>
      </c>
      <c r="BH50" s="90">
        <f t="shared" si="110"/>
        <v>2.8090198845688908E-2</v>
      </c>
      <c r="BI50" s="90">
        <f t="shared" si="110"/>
        <v>9.7230087509267982E-5</v>
      </c>
      <c r="BJ50" s="90">
        <f t="shared" si="110"/>
        <v>6.4401382183664924E-2</v>
      </c>
      <c r="BK50" s="90">
        <f t="shared" si="110"/>
        <v>3.6000747583820332E-2</v>
      </c>
      <c r="BL50" s="90">
        <f t="shared" si="110"/>
        <v>1.1690131469179927E-2</v>
      </c>
      <c r="BM50" s="90">
        <f t="shared" si="110"/>
        <v>0.64074213811646774</v>
      </c>
      <c r="BN50" s="90">
        <f t="shared" si="112"/>
        <v>1.4977687820467331E-2</v>
      </c>
      <c r="BO50" s="90">
        <f t="shared" si="106"/>
        <v>0</v>
      </c>
      <c r="BP50" s="90">
        <f t="shared" si="106"/>
        <v>0</v>
      </c>
      <c r="BQ50" s="90">
        <f t="shared" si="106"/>
        <v>3.6606712902584056E-2</v>
      </c>
      <c r="BR50" s="90">
        <f t="shared" si="107"/>
        <v>3.7264485672483721E-2</v>
      </c>
      <c r="BS50" s="90">
        <f t="shared" si="108"/>
        <v>1.3132949086412254E-2</v>
      </c>
      <c r="BT50" s="218">
        <f t="shared" si="109"/>
        <v>2.9422362601473203E-3</v>
      </c>
      <c r="BU50" s="90">
        <f t="shared" si="113"/>
        <v>1.0000000000000002</v>
      </c>
      <c r="BW50" s="90"/>
    </row>
    <row r="51" spans="1:75" x14ac:dyDescent="0.3">
      <c r="A51" s="91">
        <v>37109</v>
      </c>
      <c r="B51" s="206" t="s">
        <v>91</v>
      </c>
      <c r="C51" s="207" t="s">
        <v>158</v>
      </c>
      <c r="D51" s="208"/>
      <c r="E51" s="208"/>
      <c r="F51" s="209">
        <v>365755051</v>
      </c>
      <c r="G51" s="210">
        <v>3.5</v>
      </c>
      <c r="H51" s="211">
        <v>0.22</v>
      </c>
      <c r="I51" s="210">
        <v>3.5430053917863447</v>
      </c>
      <c r="J51" s="211">
        <v>0.10725423280423275</v>
      </c>
      <c r="K51" s="219">
        <v>29.482030879022489</v>
      </c>
      <c r="L51" s="220">
        <v>20.220699705881938</v>
      </c>
      <c r="M51" s="220">
        <v>0</v>
      </c>
      <c r="N51" s="220">
        <v>0.78670745110208973</v>
      </c>
      <c r="O51" s="220">
        <v>0</v>
      </c>
      <c r="P51" s="220">
        <v>48.104043663290831</v>
      </c>
      <c r="Q51" s="220">
        <v>5.603178442761533</v>
      </c>
      <c r="R51" s="220">
        <f t="shared" si="102"/>
        <v>104.19666014205887</v>
      </c>
      <c r="S51" s="206"/>
      <c r="T51" s="210">
        <f t="shared" si="103"/>
        <v>3.2187239978694322</v>
      </c>
      <c r="U51" s="215">
        <f t="shared" si="104"/>
        <v>9.6772800166555192E-2</v>
      </c>
      <c r="V51" s="221"/>
      <c r="W51" s="215"/>
      <c r="Y51" s="10"/>
      <c r="BD51" s="217">
        <f t="shared" si="110"/>
        <v>37109</v>
      </c>
      <c r="BE51" s="10" t="str">
        <f t="shared" si="110"/>
        <v>Tochten lage afdeling NOP</v>
      </c>
      <c r="BF51" s="90"/>
      <c r="BG51" s="90">
        <f t="shared" si="111"/>
        <v>0.21094798849152543</v>
      </c>
      <c r="BH51" s="90">
        <f t="shared" si="110"/>
        <v>2.2236245221143678E-2</v>
      </c>
      <c r="BI51" s="90">
        <f t="shared" si="110"/>
        <v>2.8581018169376534E-4</v>
      </c>
      <c r="BJ51" s="90">
        <f t="shared" si="110"/>
        <v>0.1238649451149615</v>
      </c>
      <c r="BK51" s="90">
        <f t="shared" si="110"/>
        <v>5.7259663720923462E-2</v>
      </c>
      <c r="BL51" s="90">
        <f t="shared" si="110"/>
        <v>8.2418633799914588E-3</v>
      </c>
      <c r="BM51" s="90">
        <f t="shared" si="110"/>
        <v>0.28433042848318202</v>
      </c>
      <c r="BN51" s="90">
        <f t="shared" si="112"/>
        <v>2.7793189522278446E-2</v>
      </c>
      <c r="BO51" s="90">
        <f t="shared" si="106"/>
        <v>8.6869132854319427E-4</v>
      </c>
      <c r="BP51" s="90">
        <f t="shared" si="106"/>
        <v>1.0190883803124482E-4</v>
      </c>
      <c r="BQ51" s="90">
        <f t="shared" si="106"/>
        <v>2.2435319450120797E-2</v>
      </c>
      <c r="BR51" s="90">
        <f t="shared" si="107"/>
        <v>5.4161011157520794E-3</v>
      </c>
      <c r="BS51" s="90">
        <f t="shared" si="108"/>
        <v>0.23306991145034425</v>
      </c>
      <c r="BT51" s="218">
        <f t="shared" si="109"/>
        <v>3.1479337015089546E-3</v>
      </c>
      <c r="BU51" s="90">
        <f t="shared" si="113"/>
        <v>1.0000000000000002</v>
      </c>
      <c r="BW51" s="90"/>
    </row>
    <row r="52" spans="1:75" x14ac:dyDescent="0.3">
      <c r="A52" s="91">
        <v>37110</v>
      </c>
      <c r="B52" s="206" t="s">
        <v>93</v>
      </c>
      <c r="C52" s="207" t="s">
        <v>159</v>
      </c>
      <c r="D52" s="208"/>
      <c r="E52" s="208"/>
      <c r="F52" s="209">
        <v>69707994</v>
      </c>
      <c r="G52" s="210">
        <v>9</v>
      </c>
      <c r="H52" s="211">
        <v>2</v>
      </c>
      <c r="I52" s="210">
        <v>0</v>
      </c>
      <c r="J52" s="211">
        <v>0</v>
      </c>
      <c r="K52" s="219">
        <v>1.272170787714521</v>
      </c>
      <c r="L52" s="220">
        <v>3.450483744196594E-2</v>
      </c>
      <c r="M52" s="220">
        <v>0</v>
      </c>
      <c r="N52" s="220">
        <v>0.3108790319243977</v>
      </c>
      <c r="O52" s="220">
        <v>0</v>
      </c>
      <c r="P52" s="220">
        <v>0</v>
      </c>
      <c r="Q52" s="220">
        <v>0</v>
      </c>
      <c r="R52" s="220">
        <f t="shared" si="102"/>
        <v>1.6175546570808845</v>
      </c>
      <c r="S52" s="206"/>
      <c r="T52" s="210">
        <f t="shared" si="103"/>
        <v>6.8959113728775261</v>
      </c>
      <c r="U52" s="215">
        <f t="shared" si="104"/>
        <v>1.1243759623021918</v>
      </c>
      <c r="V52" s="221"/>
      <c r="W52" s="215"/>
      <c r="Y52" s="10"/>
      <c r="BD52" s="217">
        <f t="shared" ref="BD52:BE55" si="114">BD15</f>
        <v>37111</v>
      </c>
      <c r="BE52" s="10" t="str">
        <f t="shared" si="114"/>
        <v>Tochten hoge afdeling NOP</v>
      </c>
      <c r="BF52" s="90"/>
      <c r="BG52" s="90">
        <f>BF15+BG15</f>
        <v>0.12503473011708507</v>
      </c>
      <c r="BH52" s="90">
        <f t="shared" ref="BH52:BM55" si="115">BH15</f>
        <v>2.1186982248363653E-2</v>
      </c>
      <c r="BI52" s="90">
        <f t="shared" si="115"/>
        <v>1.7014847718279345E-4</v>
      </c>
      <c r="BJ52" s="90">
        <f t="shared" si="115"/>
        <v>5.679257868822455E-2</v>
      </c>
      <c r="BK52" s="90">
        <f t="shared" si="115"/>
        <v>2.7042685967714176E-2</v>
      </c>
      <c r="BL52" s="90">
        <f t="shared" si="115"/>
        <v>4.2800730121076887E-3</v>
      </c>
      <c r="BM52" s="90">
        <f t="shared" si="115"/>
        <v>0.27016190336253498</v>
      </c>
      <c r="BN52" s="90">
        <f>BN15+BO15+BP15</f>
        <v>2.6163017380383461E-2</v>
      </c>
      <c r="BO52" s="90">
        <f t="shared" ref="BO52:BQ55" si="116">BQ15</f>
        <v>9.9941384563206878E-6</v>
      </c>
      <c r="BP52" s="90">
        <f t="shared" si="116"/>
        <v>1.1755877202632671E-6</v>
      </c>
      <c r="BQ52" s="90">
        <f t="shared" si="116"/>
        <v>2.6094480311703246E-2</v>
      </c>
      <c r="BR52" s="90">
        <f>BU15</f>
        <v>1.6853303427899142E-3</v>
      </c>
      <c r="BS52" s="90">
        <f>BY15</f>
        <v>0.43975426564178799</v>
      </c>
      <c r="BT52" s="218">
        <f>BT15+BV15+BW15+BX15</f>
        <v>1.6226347239460259E-3</v>
      </c>
      <c r="BU52" s="90">
        <f t="shared" si="113"/>
        <v>1.0000000000000002</v>
      </c>
      <c r="BW52" s="90"/>
    </row>
    <row r="53" spans="1:75" x14ac:dyDescent="0.3">
      <c r="A53" s="91">
        <v>37111</v>
      </c>
      <c r="B53" s="206" t="s">
        <v>94</v>
      </c>
      <c r="C53" s="207" t="s">
        <v>160</v>
      </c>
      <c r="D53" s="208"/>
      <c r="E53" s="208"/>
      <c r="F53" s="209">
        <v>83657293</v>
      </c>
      <c r="G53" s="210">
        <v>3</v>
      </c>
      <c r="H53" s="211">
        <v>0.22</v>
      </c>
      <c r="I53" s="210">
        <v>2.5831018518518518</v>
      </c>
      <c r="J53" s="211">
        <v>9.9166666666666667E-2</v>
      </c>
      <c r="K53" s="219">
        <v>5.3308971315892544</v>
      </c>
      <c r="L53" s="220">
        <v>5.4986937313747433</v>
      </c>
      <c r="M53" s="220">
        <v>0</v>
      </c>
      <c r="N53" s="220">
        <v>0.12550351267262411</v>
      </c>
      <c r="O53" s="220">
        <v>0</v>
      </c>
      <c r="P53" s="220">
        <v>27.479828161440491</v>
      </c>
      <c r="Q53" s="220">
        <v>0.40525616380711238</v>
      </c>
      <c r="R53" s="220">
        <f t="shared" si="102"/>
        <v>38.840178700884223</v>
      </c>
      <c r="S53" s="206"/>
      <c r="T53" s="210">
        <f t="shared" si="103"/>
        <v>2.5681386960154322</v>
      </c>
      <c r="U53" s="215">
        <f t="shared" si="104"/>
        <v>7.4158787389580177E-2</v>
      </c>
      <c r="V53" s="221"/>
      <c r="W53" s="215"/>
      <c r="Y53" s="10"/>
      <c r="BD53" s="217">
        <f t="shared" si="114"/>
        <v>37112</v>
      </c>
      <c r="BE53" s="10" t="str">
        <f t="shared" si="114"/>
        <v>Vaarten NOP</v>
      </c>
      <c r="BF53" s="90"/>
      <c r="BG53" s="90">
        <f>BF16+BG16</f>
        <v>0.15471004137547995</v>
      </c>
      <c r="BH53" s="90">
        <f t="shared" si="115"/>
        <v>1.7871260095462898E-2</v>
      </c>
      <c r="BI53" s="90">
        <f t="shared" si="115"/>
        <v>2.0954671940350166E-4</v>
      </c>
      <c r="BJ53" s="90">
        <f t="shared" si="115"/>
        <v>8.8377515102104148E-2</v>
      </c>
      <c r="BK53" s="90">
        <f t="shared" si="115"/>
        <v>4.2164932201968756E-2</v>
      </c>
      <c r="BL53" s="90">
        <f t="shared" si="115"/>
        <v>6.8719268131272682E-3</v>
      </c>
      <c r="BM53" s="90">
        <f t="shared" si="115"/>
        <v>0.36638191637633738</v>
      </c>
      <c r="BN53" s="90">
        <f>BN16+BO16+BP16</f>
        <v>2.1858707087115598E-2</v>
      </c>
      <c r="BO53" s="90">
        <f t="shared" si="116"/>
        <v>4.334102103278361E-2</v>
      </c>
      <c r="BP53" s="90">
        <f t="shared" si="116"/>
        <v>6.4694370178018448E-5</v>
      </c>
      <c r="BQ53" s="90">
        <f t="shared" si="116"/>
        <v>2.0712701947741427E-2</v>
      </c>
      <c r="BR53" s="90">
        <f>BU16</f>
        <v>4.7776260297514323E-3</v>
      </c>
      <c r="BS53" s="90">
        <f>BY16</f>
        <v>0.22915515885054286</v>
      </c>
      <c r="BT53" s="218">
        <f>BT16+BV16+BW16+BX16</f>
        <v>3.5029519980032224E-3</v>
      </c>
      <c r="BU53" s="90">
        <f t="shared" si="113"/>
        <v>1</v>
      </c>
      <c r="BW53" s="90"/>
    </row>
    <row r="54" spans="1:75" x14ac:dyDescent="0.3">
      <c r="A54" s="91">
        <v>37112</v>
      </c>
      <c r="B54" s="206" t="s">
        <v>96</v>
      </c>
      <c r="C54" s="207" t="s">
        <v>161</v>
      </c>
      <c r="D54" s="208"/>
      <c r="E54" s="208"/>
      <c r="F54" s="209">
        <v>30272793</v>
      </c>
      <c r="G54" s="210">
        <v>3.8</v>
      </c>
      <c r="H54" s="211">
        <v>0.15</v>
      </c>
      <c r="I54" s="210">
        <v>2.5823166575534864</v>
      </c>
      <c r="J54" s="211">
        <v>7.8754611872329697E-2</v>
      </c>
      <c r="K54" s="219">
        <v>1.382058006936346</v>
      </c>
      <c r="L54" s="220">
        <v>13.4413732520529</v>
      </c>
      <c r="M54" s="220">
        <v>3.2000825195</v>
      </c>
      <c r="N54" s="220">
        <v>0.14770437417261081</v>
      </c>
      <c r="O54" s="220">
        <v>0</v>
      </c>
      <c r="P54" s="220">
        <v>5.4773803333333335</v>
      </c>
      <c r="Q54" s="220">
        <v>134.84592765205616</v>
      </c>
      <c r="R54" s="220">
        <f t="shared" si="102"/>
        <v>158.49452613805136</v>
      </c>
      <c r="S54" s="222">
        <f>R54*1</f>
        <v>158.49452613805136</v>
      </c>
      <c r="T54" s="210">
        <f t="shared" si="103"/>
        <v>3.2374489758467773</v>
      </c>
      <c r="U54" s="215">
        <f t="shared" si="104"/>
        <v>0.10179606261761277</v>
      </c>
      <c r="V54" s="223">
        <f>AE16/1000</f>
        <v>513.11794132295461</v>
      </c>
      <c r="W54" s="224">
        <f>AE34/1000</f>
        <v>16.13411870729794</v>
      </c>
      <c r="Y54" s="10"/>
      <c r="BD54" s="217">
        <f t="shared" si="114"/>
        <v>37113</v>
      </c>
      <c r="BE54" s="10" t="str">
        <f t="shared" si="114"/>
        <v>Vaarten hoge afdeling ZOF</v>
      </c>
      <c r="BF54" s="90"/>
      <c r="BG54" s="90">
        <f>BF17+BG17</f>
        <v>4.490185095594719E-2</v>
      </c>
      <c r="BH54" s="90">
        <f t="shared" si="115"/>
        <v>1.361690358828109E-2</v>
      </c>
      <c r="BI54" s="90">
        <f t="shared" si="115"/>
        <v>4.4871776201176878E-5</v>
      </c>
      <c r="BJ54" s="90">
        <f t="shared" si="115"/>
        <v>3.8524073281531478E-2</v>
      </c>
      <c r="BK54" s="90">
        <f t="shared" si="115"/>
        <v>2.6851608737221595E-2</v>
      </c>
      <c r="BL54" s="90">
        <f t="shared" si="115"/>
        <v>1.2952463060648969E-2</v>
      </c>
      <c r="BM54" s="90">
        <f t="shared" si="115"/>
        <v>0.6864220688224556</v>
      </c>
      <c r="BN54" s="90">
        <f>BN17+BO17+BP17</f>
        <v>1.1917401847428946E-2</v>
      </c>
      <c r="BO54" s="90">
        <f t="shared" si="116"/>
        <v>1.2010822577150136E-2</v>
      </c>
      <c r="BP54" s="90">
        <f t="shared" si="116"/>
        <v>0</v>
      </c>
      <c r="BQ54" s="90">
        <f t="shared" si="116"/>
        <v>3.9229440114884814E-2</v>
      </c>
      <c r="BR54" s="90">
        <f>BU17</f>
        <v>2.3994562231318961E-2</v>
      </c>
      <c r="BS54" s="90">
        <f>BY17</f>
        <v>8.6999530838291331E-2</v>
      </c>
      <c r="BT54" s="218">
        <f>BT17+BV17+BW17+BX17</f>
        <v>2.5344021686385691E-3</v>
      </c>
      <c r="BU54" s="90">
        <f t="shared" si="113"/>
        <v>0.99999999999999989</v>
      </c>
      <c r="BW54" s="90"/>
    </row>
    <row r="55" spans="1:75" ht="15" thickBot="1" x14ac:dyDescent="0.35">
      <c r="A55" s="91">
        <v>37113</v>
      </c>
      <c r="B55" s="206" t="s">
        <v>98</v>
      </c>
      <c r="C55" s="207" t="s">
        <v>162</v>
      </c>
      <c r="D55" s="208"/>
      <c r="E55" s="208"/>
      <c r="F55" s="209">
        <v>62900908</v>
      </c>
      <c r="G55" s="210">
        <v>2.5</v>
      </c>
      <c r="H55" s="211">
        <v>0.1</v>
      </c>
      <c r="I55" s="210">
        <v>1.9934771136722356</v>
      </c>
      <c r="J55" s="211">
        <v>9.0395812859227487E-2</v>
      </c>
      <c r="K55" s="219">
        <v>3.539264064682794</v>
      </c>
      <c r="L55" s="220">
        <v>10.9739539714201</v>
      </c>
      <c r="M55" s="220">
        <v>0.83421828033333334</v>
      </c>
      <c r="N55" s="220">
        <v>9.1314855671890641E-2</v>
      </c>
      <c r="O55" s="220">
        <v>0</v>
      </c>
      <c r="P55" s="220">
        <v>27.626638030666673</v>
      </c>
      <c r="Q55" s="220">
        <v>45.447583366034401</v>
      </c>
      <c r="R55" s="220">
        <f t="shared" si="102"/>
        <v>88.51297256880919</v>
      </c>
      <c r="S55" s="222">
        <f>R55*(1-0.23)</f>
        <v>68.154988877983072</v>
      </c>
      <c r="T55" s="210">
        <f t="shared" si="103"/>
        <v>3.5478172401909767</v>
      </c>
      <c r="U55" s="215">
        <f t="shared" si="104"/>
        <v>0.11626733888157066</v>
      </c>
      <c r="V55" s="223">
        <f>AE17/1000*(1-0.23)</f>
        <v>241.80144454633268</v>
      </c>
      <c r="W55" s="224">
        <f>AE35/1000*(1-0.23)</f>
        <v>7.9241991883461376</v>
      </c>
      <c r="Y55" s="10"/>
      <c r="BD55" s="225">
        <f t="shared" si="114"/>
        <v>37114</v>
      </c>
      <c r="BE55" s="226" t="str">
        <f t="shared" si="114"/>
        <v>Vaarten Lage afdeling ZOF</v>
      </c>
      <c r="BF55" s="227"/>
      <c r="BG55" s="227">
        <f>BF18+BG18</f>
        <v>5.0809654247494049E-2</v>
      </c>
      <c r="BH55" s="227">
        <f t="shared" si="115"/>
        <v>1.5945363655082308E-2</v>
      </c>
      <c r="BI55" s="227">
        <f t="shared" si="115"/>
        <v>3.6599961561676948E-5</v>
      </c>
      <c r="BJ55" s="227">
        <f t="shared" si="115"/>
        <v>2.1657101770337403E-2</v>
      </c>
      <c r="BK55" s="227">
        <f t="shared" si="115"/>
        <v>2.4191057274561868E-2</v>
      </c>
      <c r="BL55" s="227">
        <f t="shared" si="115"/>
        <v>8.9218222648223492E-3</v>
      </c>
      <c r="BM55" s="227">
        <f t="shared" si="115"/>
        <v>0.71713965334069274</v>
      </c>
      <c r="BN55" s="227">
        <f>BN18+BO18+BP18</f>
        <v>1.1415642390117681E-2</v>
      </c>
      <c r="BO55" s="227">
        <f t="shared" si="116"/>
        <v>6.8390424074100231E-2</v>
      </c>
      <c r="BP55" s="227">
        <f t="shared" si="116"/>
        <v>1.735536062812202E-3</v>
      </c>
      <c r="BQ55" s="227">
        <f t="shared" si="116"/>
        <v>2.5365259485068768E-2</v>
      </c>
      <c r="BR55" s="227">
        <f>BU18</f>
        <v>2.7918874468225274E-2</v>
      </c>
      <c r="BS55" s="227">
        <f>BY18</f>
        <v>2.331050963844777E-2</v>
      </c>
      <c r="BT55" s="228">
        <f>BT18+BV18+BW18+BX18</f>
        <v>3.1625013666758376E-3</v>
      </c>
      <c r="BU55" s="90">
        <f t="shared" si="113"/>
        <v>1</v>
      </c>
      <c r="BW55" s="90"/>
    </row>
    <row r="56" spans="1:75" x14ac:dyDescent="0.3">
      <c r="A56" s="91">
        <v>37114</v>
      </c>
      <c r="B56" s="206" t="s">
        <v>100</v>
      </c>
      <c r="C56" s="207" t="s">
        <v>163</v>
      </c>
      <c r="D56" s="208"/>
      <c r="E56" s="208"/>
      <c r="F56" s="209">
        <v>86931051</v>
      </c>
      <c r="G56" s="210">
        <v>3.8</v>
      </c>
      <c r="H56" s="211">
        <v>0.15</v>
      </c>
      <c r="I56" s="210">
        <v>3.384696736270266</v>
      </c>
      <c r="J56" s="211">
        <v>0.14209542908072317</v>
      </c>
      <c r="K56" s="291">
        <v>3.2698834476035357</v>
      </c>
      <c r="L56" s="292">
        <v>19.563741941669473</v>
      </c>
      <c r="M56" s="292">
        <v>9.5632986333333321</v>
      </c>
      <c r="N56" s="292">
        <v>0.42034300815887166</v>
      </c>
      <c r="O56" s="292">
        <v>0</v>
      </c>
      <c r="P56" s="292">
        <v>7.9405855000000001</v>
      </c>
      <c r="Q56" s="292">
        <v>86.477673481376939</v>
      </c>
      <c r="R56" s="292">
        <f t="shared" si="102"/>
        <v>127.23552601214215</v>
      </c>
      <c r="S56" s="293">
        <f>R56*1</f>
        <v>127.23552601214215</v>
      </c>
      <c r="T56" s="210">
        <f t="shared" si="103"/>
        <v>6.0409215721256393</v>
      </c>
      <c r="U56" s="215">
        <f t="shared" si="104"/>
        <v>0.17985127662484474</v>
      </c>
      <c r="V56" s="229">
        <f>AE18/1000</f>
        <v>768.61983382750248</v>
      </c>
      <c r="W56" s="230">
        <f>AE36/1000</f>
        <v>22.883471785317404</v>
      </c>
      <c r="Y56" s="10"/>
      <c r="BU56" s="90"/>
      <c r="BW56" s="90"/>
    </row>
    <row r="57" spans="1:75" x14ac:dyDescent="0.3">
      <c r="A57" s="57">
        <v>37113</v>
      </c>
      <c r="B57" s="188" t="s">
        <v>164</v>
      </c>
      <c r="C57" s="231"/>
      <c r="D57" s="232"/>
      <c r="E57" s="232"/>
      <c r="F57" s="233"/>
      <c r="G57" s="216"/>
      <c r="H57" s="234"/>
      <c r="I57" s="214"/>
      <c r="J57" s="235"/>
      <c r="K57" s="212"/>
      <c r="L57" s="213"/>
      <c r="M57" s="213"/>
      <c r="N57" s="213"/>
      <c r="O57" s="188"/>
      <c r="P57" s="213"/>
      <c r="Q57" s="213"/>
      <c r="R57" s="294"/>
      <c r="S57" s="222">
        <f>R55-S55</f>
        <v>20.357983690826117</v>
      </c>
      <c r="T57" s="214"/>
      <c r="U57" s="235"/>
    </row>
    <row r="58" spans="1:75" ht="15" thickBot="1" x14ac:dyDescent="0.35">
      <c r="A58" s="91" t="s">
        <v>103</v>
      </c>
      <c r="B58" t="s">
        <v>165</v>
      </c>
      <c r="C58" s="92"/>
      <c r="F58" s="237">
        <f>F51+F53+F54</f>
        <v>479685137</v>
      </c>
      <c r="G58" s="92"/>
      <c r="J58" s="206"/>
      <c r="K58" s="238">
        <f t="shared" ref="K58:N58" si="117">K51+K53+K54</f>
        <v>36.194986017548089</v>
      </c>
      <c r="L58" s="239"/>
      <c r="M58" s="239">
        <f t="shared" si="117"/>
        <v>3.2000825195</v>
      </c>
      <c r="N58" s="239">
        <f t="shared" si="117"/>
        <v>1.0599153379473245</v>
      </c>
      <c r="P58" s="239">
        <f>P51+P53+P54</f>
        <v>81.061252158064647</v>
      </c>
      <c r="Q58" s="239">
        <f>Q51+Q53+Q54</f>
        <v>140.8543622586248</v>
      </c>
      <c r="R58" s="295">
        <f>R51+R53+R54</f>
        <v>301.53136498099445</v>
      </c>
      <c r="S58" s="240"/>
      <c r="T58" s="241"/>
      <c r="U58" s="242"/>
    </row>
    <row r="59" spans="1:75" x14ac:dyDescent="0.3">
      <c r="A59" s="105" t="s">
        <v>166</v>
      </c>
      <c r="B59" s="243" t="s">
        <v>165</v>
      </c>
      <c r="C59" s="106"/>
      <c r="D59" s="243"/>
      <c r="E59" s="243"/>
      <c r="F59" s="244">
        <f>SUM(F43:F50)+F55+F56</f>
        <v>903549023</v>
      </c>
      <c r="G59" s="106"/>
      <c r="H59" s="243"/>
      <c r="I59" s="243"/>
      <c r="J59" s="245"/>
      <c r="K59" s="246">
        <f t="shared" ref="K59:N59" si="118">SUM(K43:K50)+K55+K56</f>
        <v>49.772262514434679</v>
      </c>
      <c r="L59" s="247"/>
      <c r="M59" s="247">
        <f t="shared" si="118"/>
        <v>10.397516913666665</v>
      </c>
      <c r="N59" s="247">
        <f t="shared" si="118"/>
        <v>2.5088982622722429</v>
      </c>
      <c r="O59" s="243"/>
      <c r="P59" s="247">
        <f>SUM(P43:P50)+P55+P56</f>
        <v>37.345816618435933</v>
      </c>
      <c r="Q59" s="247">
        <f>SUM(Q43:Q50)+Q55+Q56</f>
        <v>163.49490360274933</v>
      </c>
      <c r="R59" s="296">
        <f>SUM(R43:R50)+R55+R56</f>
        <v>350.54087792056418</v>
      </c>
      <c r="S59" s="248"/>
      <c r="T59" s="249"/>
      <c r="U59" s="250"/>
      <c r="BD59" s="324" t="s">
        <v>167</v>
      </c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325"/>
      <c r="BQ59" s="325"/>
      <c r="BR59" s="325"/>
      <c r="BS59" s="325"/>
      <c r="BT59" s="326"/>
      <c r="BU59" s="5"/>
    </row>
    <row r="60" spans="1:75" ht="36.6" x14ac:dyDescent="0.3">
      <c r="G60" s="209"/>
      <c r="N60" s="239"/>
      <c r="O60" s="239"/>
      <c r="P60" s="239"/>
      <c r="Q60" s="239"/>
      <c r="R60" s="239"/>
      <c r="S60" s="251" t="s">
        <v>168</v>
      </c>
      <c r="T60" s="239"/>
      <c r="U60" s="239"/>
      <c r="BD60" s="351" t="s">
        <v>142</v>
      </c>
      <c r="BE60" s="352"/>
      <c r="BF60" s="352"/>
      <c r="BG60" s="204" t="str">
        <f t="shared" ref="BG60:BT60" si="119">BG42</f>
        <v>bemesting</v>
      </c>
      <c r="BH60" s="204" t="str">
        <f t="shared" si="119"/>
        <v>Depositie</v>
      </c>
      <c r="BI60" s="204" t="str">
        <f t="shared" si="119"/>
        <v>Infiltratie</v>
      </c>
      <c r="BJ60" s="204" t="str">
        <f t="shared" si="119"/>
        <v>Kwel</v>
      </c>
      <c r="BK60" s="204" t="str">
        <f t="shared" si="119"/>
        <v>Mineralisatie &amp; uitloging</v>
      </c>
      <c r="BL60" s="204" t="str">
        <f t="shared" si="119"/>
        <v>Uit- en afspoeling natuur</v>
      </c>
      <c r="BM60" s="204" t="str">
        <f t="shared" si="119"/>
        <v xml:space="preserve">Directe kwel </v>
      </c>
      <c r="BN60" s="204" t="str">
        <f t="shared" si="119"/>
        <v>Overig agrarisch</v>
      </c>
      <c r="BO60" s="204" t="str">
        <f t="shared" si="119"/>
        <v>RWZI</v>
      </c>
      <c r="BP60" s="204" t="str">
        <f t="shared" si="119"/>
        <v>Industrie</v>
      </c>
      <c r="BQ60" s="204" t="str">
        <f t="shared" si="119"/>
        <v>Depositie open water</v>
      </c>
      <c r="BR60" s="204" t="str">
        <f t="shared" si="119"/>
        <v>Regenwaterriolen</v>
      </c>
      <c r="BS60" s="204" t="str">
        <f t="shared" si="119"/>
        <v>Inlaat Rijkswater</v>
      </c>
      <c r="BT60" s="205" t="str">
        <f t="shared" si="119"/>
        <v>Overige bronnen</v>
      </c>
      <c r="BU60" t="s">
        <v>65</v>
      </c>
    </row>
    <row r="61" spans="1:75" x14ac:dyDescent="0.3">
      <c r="BD61" s="217">
        <f t="shared" ref="BD61:BD69" si="120">BD23</f>
        <v>37101</v>
      </c>
      <c r="BE61" s="10" t="str">
        <f t="shared" ref="BE61:BE69" si="121">BE23</f>
        <v>Tochten ABC1</v>
      </c>
      <c r="BF61" s="90"/>
      <c r="BG61" s="90">
        <f>BF23+BG23</f>
        <v>2.8363145024475445E-2</v>
      </c>
      <c r="BH61" s="90">
        <f t="shared" ref="BH61:BM69" si="122">BH23</f>
        <v>0</v>
      </c>
      <c r="BI61" s="90">
        <f t="shared" si="122"/>
        <v>8.0954497359019825E-5</v>
      </c>
      <c r="BJ61" s="90">
        <f t="shared" si="122"/>
        <v>4.3682293087420644E-2</v>
      </c>
      <c r="BK61" s="90">
        <f t="shared" si="122"/>
        <v>1.1635310090285324E-2</v>
      </c>
      <c r="BL61" s="90">
        <f t="shared" si="122"/>
        <v>0.12820870035627588</v>
      </c>
      <c r="BM61" s="90">
        <f t="shared" si="122"/>
        <v>0.6899792693629978</v>
      </c>
      <c r="BN61" s="90">
        <f t="shared" ref="BN61:BN69" si="123">BN23+BO23+BP23</f>
        <v>4.0658708711940106E-2</v>
      </c>
      <c r="BO61" s="90">
        <f t="shared" ref="BO61:BQ69" si="124">BQ23</f>
        <v>0</v>
      </c>
      <c r="BP61" s="90">
        <f t="shared" si="124"/>
        <v>0</v>
      </c>
      <c r="BQ61" s="90">
        <f t="shared" si="124"/>
        <v>0</v>
      </c>
      <c r="BR61" s="90">
        <f t="shared" ref="BR61:BR69" si="125">BU23</f>
        <v>4.7421323633865725E-2</v>
      </c>
      <c r="BS61" s="90">
        <f t="shared" ref="BS61:BS69" si="126">BY23</f>
        <v>0</v>
      </c>
      <c r="BT61" s="218">
        <f t="shared" ref="BT61:BT69" si="127">BT23+BV23+BW23+BX23</f>
        <v>9.9702952353799244E-3</v>
      </c>
      <c r="BU61" s="90">
        <f t="shared" ref="BU61:BU73" si="128">SUM(BF61:BT61)</f>
        <v>0.99999999999999989</v>
      </c>
    </row>
    <row r="62" spans="1:75" x14ac:dyDescent="0.3">
      <c r="BD62" s="217">
        <f t="shared" si="120"/>
        <v>37102</v>
      </c>
      <c r="BE62" s="10" t="str">
        <f t="shared" si="121"/>
        <v>Tochten ABC2</v>
      </c>
      <c r="BF62" s="90"/>
      <c r="BG62" s="90">
        <f t="shared" ref="BG62:BG69" si="129">BF24+BG24</f>
        <v>9.6565212037610232E-2</v>
      </c>
      <c r="BH62" s="90">
        <f t="shared" si="122"/>
        <v>0</v>
      </c>
      <c r="BI62" s="90">
        <f t="shared" si="122"/>
        <v>1.8125089032303168E-4</v>
      </c>
      <c r="BJ62" s="90">
        <f t="shared" si="122"/>
        <v>8.3385735632703614E-2</v>
      </c>
      <c r="BK62" s="90">
        <f t="shared" si="122"/>
        <v>4.3013231482383646E-2</v>
      </c>
      <c r="BL62" s="90">
        <f t="shared" si="122"/>
        <v>3.2976228917242105E-2</v>
      </c>
      <c r="BM62" s="90">
        <f t="shared" si="122"/>
        <v>0.65446439238755194</v>
      </c>
      <c r="BN62" s="90">
        <f t="shared" si="123"/>
        <v>3.8112125385146682E-2</v>
      </c>
      <c r="BO62" s="90">
        <f t="shared" si="124"/>
        <v>0</v>
      </c>
      <c r="BP62" s="90">
        <f t="shared" si="124"/>
        <v>0</v>
      </c>
      <c r="BQ62" s="90">
        <f t="shared" si="124"/>
        <v>0</v>
      </c>
      <c r="BR62" s="90">
        <f t="shared" si="125"/>
        <v>4.1412713191288968E-2</v>
      </c>
      <c r="BS62" s="90">
        <f t="shared" si="126"/>
        <v>0</v>
      </c>
      <c r="BT62" s="218">
        <f t="shared" si="127"/>
        <v>9.8891100757497793E-3</v>
      </c>
      <c r="BU62" s="90">
        <f t="shared" si="128"/>
        <v>0.99999999999999989</v>
      </c>
    </row>
    <row r="63" spans="1:75" x14ac:dyDescent="0.3">
      <c r="BD63" s="217">
        <f t="shared" si="120"/>
        <v>37103</v>
      </c>
      <c r="BE63" s="10" t="str">
        <f t="shared" si="121"/>
        <v>Tochten DE Almere</v>
      </c>
      <c r="BF63" s="90"/>
      <c r="BG63" s="90">
        <f t="shared" si="129"/>
        <v>2.0288701739731234E-2</v>
      </c>
      <c r="BH63" s="90">
        <f t="shared" si="122"/>
        <v>0</v>
      </c>
      <c r="BI63" s="90">
        <f t="shared" si="122"/>
        <v>1.8106888246675315E-5</v>
      </c>
      <c r="BJ63" s="90">
        <f t="shared" si="122"/>
        <v>3.9348131100176764E-2</v>
      </c>
      <c r="BK63" s="90">
        <f t="shared" si="122"/>
        <v>6.2646703352158845E-3</v>
      </c>
      <c r="BL63" s="90">
        <f t="shared" si="122"/>
        <v>7.8689298070850802E-2</v>
      </c>
      <c r="BM63" s="90">
        <f t="shared" si="122"/>
        <v>4.4887099596427275E-2</v>
      </c>
      <c r="BN63" s="90">
        <f t="shared" si="123"/>
        <v>1.0165853279738549E-2</v>
      </c>
      <c r="BO63" s="90">
        <f t="shared" si="124"/>
        <v>0</v>
      </c>
      <c r="BP63" s="90">
        <f t="shared" si="124"/>
        <v>0</v>
      </c>
      <c r="BQ63" s="90">
        <f t="shared" si="124"/>
        <v>0</v>
      </c>
      <c r="BR63" s="90">
        <f t="shared" si="125"/>
        <v>0.72116733700988622</v>
      </c>
      <c r="BS63" s="90">
        <f t="shared" si="126"/>
        <v>1.3620985523770814E-2</v>
      </c>
      <c r="BT63" s="218">
        <f t="shared" si="127"/>
        <v>6.5549816455955867E-2</v>
      </c>
      <c r="BU63" s="90">
        <f t="shared" si="128"/>
        <v>1</v>
      </c>
    </row>
    <row r="64" spans="1:75" x14ac:dyDescent="0.3">
      <c r="BD64" s="217">
        <f t="shared" si="120"/>
        <v>37104</v>
      </c>
      <c r="BE64" s="10" t="str">
        <f t="shared" si="121"/>
        <v>Tochten DE Zuidlob</v>
      </c>
      <c r="BF64" s="90"/>
      <c r="BG64" s="90">
        <f t="shared" si="129"/>
        <v>9.9373538108794124E-2</v>
      </c>
      <c r="BH64" s="90">
        <f t="shared" si="122"/>
        <v>0</v>
      </c>
      <c r="BI64" s="90">
        <f t="shared" si="122"/>
        <v>2.1097038747314227E-4</v>
      </c>
      <c r="BJ64" s="90">
        <f t="shared" si="122"/>
        <v>3.5827933531337418E-2</v>
      </c>
      <c r="BK64" s="90">
        <f t="shared" si="122"/>
        <v>5.7981721043732989E-2</v>
      </c>
      <c r="BL64" s="90">
        <f t="shared" si="122"/>
        <v>3.1924718771610884E-2</v>
      </c>
      <c r="BM64" s="90">
        <f t="shared" si="122"/>
        <v>0.28447723339283904</v>
      </c>
      <c r="BN64" s="90">
        <f t="shared" si="123"/>
        <v>6.4293032842961326E-2</v>
      </c>
      <c r="BO64" s="90">
        <f t="shared" si="124"/>
        <v>0</v>
      </c>
      <c r="BP64" s="90">
        <f t="shared" si="124"/>
        <v>0</v>
      </c>
      <c r="BQ64" s="90">
        <f t="shared" si="124"/>
        <v>0</v>
      </c>
      <c r="BR64" s="90">
        <f t="shared" si="125"/>
        <v>0.41531537055627149</v>
      </c>
      <c r="BS64" s="90">
        <f t="shared" si="126"/>
        <v>0</v>
      </c>
      <c r="BT64" s="218">
        <f t="shared" si="127"/>
        <v>1.0595481364979516E-2</v>
      </c>
      <c r="BU64" s="90">
        <f t="shared" si="128"/>
        <v>1</v>
      </c>
    </row>
    <row r="65" spans="56:73" x14ac:dyDescent="0.3">
      <c r="BD65" s="217">
        <f t="shared" si="120"/>
        <v>37105</v>
      </c>
      <c r="BE65" s="10" t="str">
        <f t="shared" si="121"/>
        <v>Tochten FGIK</v>
      </c>
      <c r="BF65" s="90"/>
      <c r="BG65" s="90">
        <f t="shared" si="129"/>
        <v>0.16759910557931332</v>
      </c>
      <c r="BH65" s="90">
        <f t="shared" si="122"/>
        <v>0</v>
      </c>
      <c r="BI65" s="90">
        <f t="shared" si="122"/>
        <v>2.1707131945880123E-4</v>
      </c>
      <c r="BJ65" s="90">
        <f t="shared" si="122"/>
        <v>3.7252762836683759E-2</v>
      </c>
      <c r="BK65" s="90">
        <f t="shared" si="122"/>
        <v>7.3567856621884808E-2</v>
      </c>
      <c r="BL65" s="90">
        <f t="shared" si="122"/>
        <v>1.4909727719746062E-2</v>
      </c>
      <c r="BM65" s="90">
        <f t="shared" si="122"/>
        <v>0.39904370485631158</v>
      </c>
      <c r="BN65" s="90">
        <f t="shared" si="123"/>
        <v>3.3491516105924546E-2</v>
      </c>
      <c r="BO65" s="90">
        <f t="shared" si="124"/>
        <v>1.9557080717354427E-3</v>
      </c>
      <c r="BP65" s="90">
        <f t="shared" si="124"/>
        <v>0</v>
      </c>
      <c r="BQ65" s="90">
        <f t="shared" si="124"/>
        <v>0</v>
      </c>
      <c r="BR65" s="90">
        <f t="shared" si="125"/>
        <v>0.23791731019903523</v>
      </c>
      <c r="BS65" s="90">
        <f t="shared" si="126"/>
        <v>3.8181041825245832E-3</v>
      </c>
      <c r="BT65" s="218">
        <f t="shared" si="127"/>
        <v>3.022713250738171E-2</v>
      </c>
      <c r="BU65" s="90">
        <f t="shared" si="128"/>
        <v>0.99999999999999989</v>
      </c>
    </row>
    <row r="66" spans="56:73" x14ac:dyDescent="0.3">
      <c r="BD66" s="217">
        <f t="shared" si="120"/>
        <v>37106</v>
      </c>
      <c r="BE66" s="10" t="str">
        <f t="shared" si="121"/>
        <v>Tochten FGIK ZUID</v>
      </c>
      <c r="BF66" s="90"/>
      <c r="BG66" s="90">
        <f t="shared" si="129"/>
        <v>0.31989379636774196</v>
      </c>
      <c r="BH66" s="90">
        <f t="shared" si="122"/>
        <v>0</v>
      </c>
      <c r="BI66" s="90">
        <f t="shared" si="122"/>
        <v>1.6188650713022527E-4</v>
      </c>
      <c r="BJ66" s="90">
        <f t="shared" si="122"/>
        <v>5.3911687593141959E-2</v>
      </c>
      <c r="BK66" s="90">
        <f t="shared" si="122"/>
        <v>0.20022517338540363</v>
      </c>
      <c r="BL66" s="90">
        <f t="shared" si="122"/>
        <v>3.1879404598735547E-2</v>
      </c>
      <c r="BM66" s="90">
        <f t="shared" si="122"/>
        <v>0.133470337203726</v>
      </c>
      <c r="BN66" s="90">
        <f t="shared" si="123"/>
        <v>0.12974646489780173</v>
      </c>
      <c r="BO66" s="90">
        <f t="shared" si="124"/>
        <v>3.992398121207043E-3</v>
      </c>
      <c r="BP66" s="90">
        <f t="shared" si="124"/>
        <v>0</v>
      </c>
      <c r="BQ66" s="90">
        <f t="shared" si="124"/>
        <v>0</v>
      </c>
      <c r="BR66" s="90">
        <f t="shared" si="125"/>
        <v>8.8907356376508595E-2</v>
      </c>
      <c r="BS66" s="90">
        <f t="shared" si="126"/>
        <v>5.3836661875371417E-3</v>
      </c>
      <c r="BT66" s="218">
        <f t="shared" si="127"/>
        <v>3.2427828761066022E-2</v>
      </c>
      <c r="BU66" s="90">
        <f t="shared" si="128"/>
        <v>0.99999999999999978</v>
      </c>
    </row>
    <row r="67" spans="56:73" x14ac:dyDescent="0.3">
      <c r="BD67" s="217">
        <f t="shared" si="120"/>
        <v>37107</v>
      </c>
      <c r="BE67" s="10" t="str">
        <f t="shared" si="121"/>
        <v>Tochten H</v>
      </c>
      <c r="BF67" s="90"/>
      <c r="BG67" s="90">
        <f t="shared" si="129"/>
        <v>0.17850670163628513</v>
      </c>
      <c r="BH67" s="90">
        <f t="shared" si="122"/>
        <v>0</v>
      </c>
      <c r="BI67" s="90">
        <f t="shared" si="122"/>
        <v>2.012972575329837E-4</v>
      </c>
      <c r="BJ67" s="90">
        <f t="shared" si="122"/>
        <v>2.4096490739388091E-2</v>
      </c>
      <c r="BK67" s="90">
        <f t="shared" si="122"/>
        <v>8.4655516675991568E-2</v>
      </c>
      <c r="BL67" s="90">
        <f t="shared" si="122"/>
        <v>1.49410965369191E-2</v>
      </c>
      <c r="BM67" s="90">
        <f t="shared" si="122"/>
        <v>0.50421684016750101</v>
      </c>
      <c r="BN67" s="90">
        <f t="shared" si="123"/>
        <v>3.4723119500726637E-2</v>
      </c>
      <c r="BO67" s="90">
        <f t="shared" si="124"/>
        <v>1.5709900527137135E-2</v>
      </c>
      <c r="BP67" s="90">
        <f t="shared" si="124"/>
        <v>0</v>
      </c>
      <c r="BQ67" s="90">
        <f t="shared" si="124"/>
        <v>0</v>
      </c>
      <c r="BR67" s="90">
        <f t="shared" si="125"/>
        <v>0.10041638936862476</v>
      </c>
      <c r="BS67" s="90">
        <f t="shared" si="126"/>
        <v>2.1184475523184931E-2</v>
      </c>
      <c r="BT67" s="218">
        <f t="shared" si="127"/>
        <v>2.1348172066708582E-2</v>
      </c>
      <c r="BU67" s="90">
        <f t="shared" si="128"/>
        <v>0.99999999999999989</v>
      </c>
    </row>
    <row r="68" spans="56:73" x14ac:dyDescent="0.3">
      <c r="BD68" s="217">
        <f t="shared" si="120"/>
        <v>37108</v>
      </c>
      <c r="BE68" s="10" t="str">
        <f t="shared" si="121"/>
        <v>Tochten  J</v>
      </c>
      <c r="BF68" s="90"/>
      <c r="BG68" s="90">
        <f t="shared" si="129"/>
        <v>0.16145905134367741</v>
      </c>
      <c r="BH68" s="90">
        <f t="shared" si="122"/>
        <v>0</v>
      </c>
      <c r="BI68" s="90">
        <f t="shared" si="122"/>
        <v>1.5503917670036473E-4</v>
      </c>
      <c r="BJ68" s="90">
        <f t="shared" si="122"/>
        <v>0.11912511188351084</v>
      </c>
      <c r="BK68" s="90">
        <f t="shared" si="122"/>
        <v>3.7835165339997541E-2</v>
      </c>
      <c r="BL68" s="90">
        <f t="shared" si="122"/>
        <v>2.3426928739841976E-2</v>
      </c>
      <c r="BM68" s="90">
        <f t="shared" si="122"/>
        <v>0.36314940462440931</v>
      </c>
      <c r="BN68" s="90">
        <f t="shared" si="123"/>
        <v>4.1143113944384677E-2</v>
      </c>
      <c r="BO68" s="90">
        <f t="shared" si="124"/>
        <v>0</v>
      </c>
      <c r="BP68" s="90">
        <f t="shared" si="124"/>
        <v>0</v>
      </c>
      <c r="BQ68" s="90">
        <f t="shared" si="124"/>
        <v>0</v>
      </c>
      <c r="BR68" s="90">
        <f t="shared" si="125"/>
        <v>0.22262825922304849</v>
      </c>
      <c r="BS68" s="90">
        <f t="shared" si="126"/>
        <v>9.0617915086123983E-3</v>
      </c>
      <c r="BT68" s="218">
        <f t="shared" si="127"/>
        <v>2.2016134215817103E-2</v>
      </c>
      <c r="BU68" s="90">
        <f t="shared" si="128"/>
        <v>1.0000000000000002</v>
      </c>
    </row>
    <row r="69" spans="56:73" x14ac:dyDescent="0.3">
      <c r="BD69" s="217">
        <f t="shared" si="120"/>
        <v>37109</v>
      </c>
      <c r="BE69" s="10" t="str">
        <f t="shared" si="121"/>
        <v>Tochten lage afdeling NOP</v>
      </c>
      <c r="BF69" s="90"/>
      <c r="BG69" s="90">
        <f t="shared" si="129"/>
        <v>0.22125460334252342</v>
      </c>
      <c r="BH69" s="90">
        <f t="shared" si="122"/>
        <v>0</v>
      </c>
      <c r="BI69" s="90">
        <f t="shared" si="122"/>
        <v>4.3494695506985482E-4</v>
      </c>
      <c r="BJ69" s="90">
        <f t="shared" si="122"/>
        <v>0.15764579797801359</v>
      </c>
      <c r="BK69" s="90">
        <f t="shared" si="122"/>
        <v>7.1516872675035842E-2</v>
      </c>
      <c r="BL69" s="90">
        <f t="shared" si="122"/>
        <v>1.1667214696364139E-2</v>
      </c>
      <c r="BM69" s="90">
        <f t="shared" si="122"/>
        <v>0.24370818418765891</v>
      </c>
      <c r="BN69" s="90">
        <f t="shared" si="123"/>
        <v>7.1166134466855352E-2</v>
      </c>
      <c r="BO69" s="90">
        <f t="shared" si="124"/>
        <v>2.5523016810387399E-2</v>
      </c>
      <c r="BP69" s="90">
        <f t="shared" si="124"/>
        <v>2.9859442390415141E-6</v>
      </c>
      <c r="BQ69" s="90">
        <f t="shared" si="124"/>
        <v>0</v>
      </c>
      <c r="BR69" s="90">
        <f t="shared" si="125"/>
        <v>2.493158292202825E-2</v>
      </c>
      <c r="BS69" s="90">
        <f t="shared" si="126"/>
        <v>0.15343747699360394</v>
      </c>
      <c r="BT69" s="218">
        <f t="shared" si="127"/>
        <v>1.8711183028220117E-2</v>
      </c>
      <c r="BU69" s="90">
        <f t="shared" si="128"/>
        <v>0.99999999999999989</v>
      </c>
    </row>
    <row r="70" spans="56:73" x14ac:dyDescent="0.3">
      <c r="BD70" s="217">
        <f t="shared" ref="BD70:BE73" si="130">BD33</f>
        <v>37111</v>
      </c>
      <c r="BE70" s="10" t="str">
        <f t="shared" si="130"/>
        <v>Tochten hoge afdeling NOP</v>
      </c>
      <c r="BF70" s="90"/>
      <c r="BG70" s="90">
        <f>BF33+BG33</f>
        <v>0.16292229253541574</v>
      </c>
      <c r="BH70" s="90">
        <f t="shared" ref="BH70:BM73" si="131">BH33</f>
        <v>0</v>
      </c>
      <c r="BI70" s="90">
        <f t="shared" si="131"/>
        <v>1.189494349904807E-4</v>
      </c>
      <c r="BJ70" s="90">
        <f t="shared" si="131"/>
        <v>7.8671708148313105E-2</v>
      </c>
      <c r="BK70" s="90">
        <f t="shared" si="131"/>
        <v>5.4149577548398595E-2</v>
      </c>
      <c r="BL70" s="90">
        <f t="shared" si="131"/>
        <v>4.4391547896345755E-3</v>
      </c>
      <c r="BM70" s="90">
        <f t="shared" si="131"/>
        <v>0.21530688707188053</v>
      </c>
      <c r="BN70" s="90">
        <f>BN33+BO33+BP33</f>
        <v>7.0039977395908948E-2</v>
      </c>
      <c r="BO70" s="90">
        <f t="shared" ref="BO70:BQ73" si="132">BQ33</f>
        <v>3.0806043721598984E-4</v>
      </c>
      <c r="BP70" s="90">
        <f t="shared" si="132"/>
        <v>3.604006903319253E-8</v>
      </c>
      <c r="BQ70" s="90">
        <f t="shared" si="132"/>
        <v>0</v>
      </c>
      <c r="BR70" s="90">
        <f>BU33</f>
        <v>7.7420650937498952E-3</v>
      </c>
      <c r="BS70" s="90">
        <f>BY33</f>
        <v>0.39833634208808144</v>
      </c>
      <c r="BT70" s="218">
        <f>BT33+BV33+BW33+BX33</f>
        <v>7.9649494163416875E-3</v>
      </c>
      <c r="BU70" s="90">
        <f t="shared" si="128"/>
        <v>1</v>
      </c>
    </row>
    <row r="71" spans="56:73" x14ac:dyDescent="0.3">
      <c r="BD71" s="217">
        <f t="shared" si="130"/>
        <v>37112</v>
      </c>
      <c r="BE71" s="10" t="str">
        <f t="shared" si="130"/>
        <v>Vaarten NOP</v>
      </c>
      <c r="BF71" s="90"/>
      <c r="BG71" s="90">
        <f>BF34+BG34</f>
        <v>0.11146034437985357</v>
      </c>
      <c r="BH71" s="90">
        <f t="shared" si="131"/>
        <v>0</v>
      </c>
      <c r="BI71" s="90">
        <f t="shared" si="131"/>
        <v>2.5171525016771024E-4</v>
      </c>
      <c r="BJ71" s="90">
        <f t="shared" si="131"/>
        <v>7.2889094742577223E-2</v>
      </c>
      <c r="BK71" s="90">
        <f t="shared" si="131"/>
        <v>3.7419440146880284E-2</v>
      </c>
      <c r="BL71" s="90">
        <f t="shared" si="131"/>
        <v>6.6627203372227719E-3</v>
      </c>
      <c r="BM71" s="90">
        <f t="shared" si="131"/>
        <v>0.32999880701175016</v>
      </c>
      <c r="BN71" s="90">
        <f>BN34+BO34+BP34</f>
        <v>3.7842796433546162E-2</v>
      </c>
      <c r="BO71" s="90">
        <f t="shared" si="132"/>
        <v>0.19699939262322005</v>
      </c>
      <c r="BP71" s="90">
        <f t="shared" si="132"/>
        <v>1.9074637201555932E-6</v>
      </c>
      <c r="BQ71" s="90">
        <f t="shared" si="132"/>
        <v>0</v>
      </c>
      <c r="BR71" s="90">
        <f>BU34</f>
        <v>1.6381570082390853E-2</v>
      </c>
      <c r="BS71" s="90">
        <f>BY34</f>
        <v>0.17410308636583047</v>
      </c>
      <c r="BT71" s="218">
        <f>BT34+BV34+BW34+BX34</f>
        <v>1.5989125162840571E-2</v>
      </c>
      <c r="BU71" s="90">
        <f t="shared" si="128"/>
        <v>1</v>
      </c>
    </row>
    <row r="72" spans="56:73" x14ac:dyDescent="0.3">
      <c r="BD72" s="217">
        <f t="shared" si="130"/>
        <v>37113</v>
      </c>
      <c r="BE72" s="10" t="str">
        <f t="shared" si="130"/>
        <v>Vaarten hoge afdeling ZOF</v>
      </c>
      <c r="BF72" s="90"/>
      <c r="BG72" s="90">
        <f>BF35+BG35</f>
        <v>7.5726270793287309E-2</v>
      </c>
      <c r="BH72" s="90">
        <f t="shared" si="131"/>
        <v>0</v>
      </c>
      <c r="BI72" s="90">
        <f t="shared" si="131"/>
        <v>1.0100992663025375E-4</v>
      </c>
      <c r="BJ72" s="90">
        <f t="shared" si="131"/>
        <v>4.3545623988520889E-2</v>
      </c>
      <c r="BK72" s="90">
        <f t="shared" si="131"/>
        <v>3.5333386987170423E-2</v>
      </c>
      <c r="BL72" s="90">
        <f t="shared" si="131"/>
        <v>3.2859020497506872E-2</v>
      </c>
      <c r="BM72" s="90">
        <f t="shared" si="131"/>
        <v>0.46430470857288497</v>
      </c>
      <c r="BN72" s="90">
        <f>BN35+BO35+BP35</f>
        <v>2.656521209103499E-2</v>
      </c>
      <c r="BO72" s="90">
        <f t="shared" si="132"/>
        <v>3.5715950507120564E-2</v>
      </c>
      <c r="BP72" s="90">
        <f t="shared" si="132"/>
        <v>0</v>
      </c>
      <c r="BQ72" s="90">
        <f t="shared" si="132"/>
        <v>0</v>
      </c>
      <c r="BR72" s="90">
        <f>BU35</f>
        <v>0.20585309235785304</v>
      </c>
      <c r="BS72" s="90">
        <f>BY35</f>
        <v>4.8964923274447326E-2</v>
      </c>
      <c r="BT72" s="218">
        <f>BT35+BV35+BW35+BX35</f>
        <v>3.1030801003543176E-2</v>
      </c>
      <c r="BU72" s="90">
        <f t="shared" si="128"/>
        <v>0.99999999999999978</v>
      </c>
    </row>
    <row r="73" spans="56:73" ht="15" thickBot="1" x14ac:dyDescent="0.35">
      <c r="BD73" s="225">
        <f t="shared" si="130"/>
        <v>37114</v>
      </c>
      <c r="BE73" s="226" t="str">
        <f t="shared" si="130"/>
        <v>Vaarten Lage afdeling ZOF</v>
      </c>
      <c r="BF73" s="227"/>
      <c r="BG73" s="227">
        <f>BF36+BG36</f>
        <v>6.872900370512712E-2</v>
      </c>
      <c r="BH73" s="227">
        <f t="shared" si="131"/>
        <v>0</v>
      </c>
      <c r="BI73" s="227">
        <f t="shared" si="131"/>
        <v>7.7926397024621633E-5</v>
      </c>
      <c r="BJ73" s="227">
        <f t="shared" si="131"/>
        <v>2.1574509000250094E-2</v>
      </c>
      <c r="BK73" s="227">
        <f t="shared" si="131"/>
        <v>2.9468451433819556E-2</v>
      </c>
      <c r="BL73" s="227">
        <f t="shared" si="131"/>
        <v>1.4561200520574096E-2</v>
      </c>
      <c r="BM73" s="227">
        <f t="shared" si="131"/>
        <v>0.38586077019332921</v>
      </c>
      <c r="BN73" s="227">
        <f>BN36+BO36+BP36</f>
        <v>2.1769935608811034E-2</v>
      </c>
      <c r="BO73" s="227">
        <f t="shared" si="132"/>
        <v>0.25159015568551124</v>
      </c>
      <c r="BP73" s="227">
        <f t="shared" si="132"/>
        <v>0</v>
      </c>
      <c r="BQ73" s="227">
        <f t="shared" si="132"/>
        <v>0</v>
      </c>
      <c r="BR73" s="227">
        <f>BU36</f>
        <v>0.14624587792698709</v>
      </c>
      <c r="BS73" s="227">
        <f>BY36</f>
        <v>1.1635407355283839E-2</v>
      </c>
      <c r="BT73" s="228">
        <f>BT36+BV36+BW36+BX36</f>
        <v>4.8486762173282183E-2</v>
      </c>
      <c r="BU73" s="90">
        <f t="shared" si="128"/>
        <v>1</v>
      </c>
    </row>
  </sheetData>
  <mergeCells count="38">
    <mergeCell ref="AC3:AE3"/>
    <mergeCell ref="BD42:BF42"/>
    <mergeCell ref="BD60:BF60"/>
    <mergeCell ref="C3:F3"/>
    <mergeCell ref="G3:M3"/>
    <mergeCell ref="O3:Q3"/>
    <mergeCell ref="R3:Y3"/>
    <mergeCell ref="Z3:AB3"/>
    <mergeCell ref="BD59:BT59"/>
    <mergeCell ref="CQ3:CS3"/>
    <mergeCell ref="DH3:DJ3"/>
    <mergeCell ref="CA4:CB4"/>
    <mergeCell ref="C21:F21"/>
    <mergeCell ref="G21:M21"/>
    <mergeCell ref="O21:Q21"/>
    <mergeCell ref="R21:Y21"/>
    <mergeCell ref="Z21:AB21"/>
    <mergeCell ref="AC21:AE21"/>
    <mergeCell ref="AG21:AM21"/>
    <mergeCell ref="AG3:AM3"/>
    <mergeCell ref="AO3:AQ3"/>
    <mergeCell ref="AR3:AY3"/>
    <mergeCell ref="AZ3:BA3"/>
    <mergeCell ref="CC3:CG3"/>
    <mergeCell ref="CH3:CM3"/>
    <mergeCell ref="DH21:DJ21"/>
    <mergeCell ref="CA22:CB22"/>
    <mergeCell ref="G41:J41"/>
    <mergeCell ref="K41:S41"/>
    <mergeCell ref="T41:U41"/>
    <mergeCell ref="V41:W41"/>
    <mergeCell ref="BD41:BT41"/>
    <mergeCell ref="AO21:AQ21"/>
    <mergeCell ref="AR21:AY21"/>
    <mergeCell ref="AZ21:BA21"/>
    <mergeCell ref="CC21:CG21"/>
    <mergeCell ref="CH21:CM21"/>
    <mergeCell ref="CQ21:CS21"/>
  </mergeCells>
  <conditionalFormatting sqref="BF5:BY18">
    <cfRule type="cellIs" dxfId="26" priority="5" operator="lessThan">
      <formula>0.02</formula>
    </cfRule>
    <cfRule type="cellIs" dxfId="25" priority="6" operator="greaterThan">
      <formula>0.2</formula>
    </cfRule>
    <cfRule type="cellIs" dxfId="24" priority="7" operator="between">
      <formula>0.1</formula>
      <formula>0.2</formula>
    </cfRule>
  </conditionalFormatting>
  <conditionalFormatting sqref="BF23:BY36">
    <cfRule type="cellIs" dxfId="23" priority="2" operator="lessThan">
      <formula>0.02</formula>
    </cfRule>
    <cfRule type="cellIs" dxfId="22" priority="3" operator="greaterThan">
      <formula>0.2</formula>
    </cfRule>
    <cfRule type="cellIs" dxfId="21" priority="4" operator="between">
      <formula>0.1</formula>
      <formula>0.2</formula>
    </cfRule>
  </conditionalFormatting>
  <conditionalFormatting sqref="DI5:DJ18 DI23:DJ36">
    <cfRule type="cellIs" dxfId="20" priority="1" operator="greaterThanOrEqual">
      <formula>1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2BEC-4D5D-423B-BB1B-36EE54405B3F}">
  <dimension ref="A1:CB77"/>
  <sheetViews>
    <sheetView zoomScaleNormal="100" workbookViewId="0"/>
  </sheetViews>
  <sheetFormatPr defaultColWidth="8.88671875" defaultRowHeight="14.4" x14ac:dyDescent="0.3"/>
  <cols>
    <col min="2" max="2" width="24.109375" bestFit="1" customWidth="1"/>
    <col min="3" max="4" width="11.6640625" customWidth="1"/>
    <col min="5" max="6" width="9.6640625" customWidth="1"/>
    <col min="7" max="7" width="13.5546875" bestFit="1" customWidth="1"/>
    <col min="8" max="8" width="12.44140625" bestFit="1" customWidth="1"/>
    <col min="9" max="9" width="10.33203125" bestFit="1" customWidth="1"/>
    <col min="10" max="10" width="13.33203125" customWidth="1"/>
    <col min="11" max="11" width="13.5546875" bestFit="1" customWidth="1"/>
    <col min="12" max="12" width="10.6640625" customWidth="1"/>
    <col min="13" max="13" width="12.44140625" bestFit="1" customWidth="1"/>
    <col min="14" max="14" width="17.5546875" customWidth="1"/>
    <col min="15" max="17" width="11.5546875" bestFit="1" customWidth="1"/>
    <col min="18" max="18" width="13.6640625" bestFit="1" customWidth="1"/>
    <col min="19" max="19" width="12" customWidth="1"/>
    <col min="20" max="20" width="11.33203125" customWidth="1"/>
    <col min="21" max="21" width="11.44140625" bestFit="1" customWidth="1"/>
    <col min="22" max="23" width="15.6640625" customWidth="1"/>
    <col min="24" max="24" width="17.6640625" bestFit="1" customWidth="1"/>
    <col min="25" max="25" width="11.44140625" bestFit="1" customWidth="1"/>
    <col min="26" max="26" width="12.44140625" bestFit="1" customWidth="1"/>
    <col min="27" max="27" width="9.44140625" bestFit="1" customWidth="1"/>
    <col min="28" max="28" width="12.33203125" customWidth="1"/>
    <col min="29" max="29" width="10.33203125" bestFit="1" customWidth="1"/>
    <col min="30" max="30" width="9.33203125" bestFit="1" customWidth="1"/>
    <col min="31" max="31" width="10.33203125" bestFit="1" customWidth="1"/>
    <col min="32" max="32" width="36.6640625" bestFit="1" customWidth="1"/>
    <col min="33" max="34" width="9.33203125" bestFit="1" customWidth="1"/>
    <col min="35" max="36" width="8.6640625" bestFit="1" customWidth="1"/>
    <col min="37" max="37" width="9.33203125" bestFit="1" customWidth="1"/>
    <col min="38" max="38" width="10.44140625" customWidth="1"/>
    <col min="39" max="39" width="9.33203125" bestFit="1" customWidth="1"/>
    <col min="40" max="40" width="10.33203125" bestFit="1" customWidth="1"/>
    <col min="41" max="43" width="10.6640625" customWidth="1"/>
    <col min="44" max="47" width="8.6640625" bestFit="1" customWidth="1"/>
    <col min="48" max="48" width="9.88671875" customWidth="1"/>
    <col min="49" max="49" width="9.33203125" bestFit="1" customWidth="1"/>
    <col min="50" max="51" width="8.6640625" bestFit="1" customWidth="1"/>
    <col min="52" max="52" width="9.33203125" bestFit="1" customWidth="1"/>
    <col min="53" max="53" width="8.6640625" bestFit="1" customWidth="1"/>
    <col min="54" max="54" width="12.33203125" customWidth="1"/>
    <col min="57" max="57" width="23.88671875" bestFit="1" customWidth="1"/>
  </cols>
  <sheetData>
    <row r="1" spans="1:80" s="5" customFormat="1" ht="15.6" x14ac:dyDescent="0.3">
      <c r="A1" s="1" t="s">
        <v>0</v>
      </c>
      <c r="B1" s="2"/>
      <c r="C1" s="2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8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80" x14ac:dyDescent="0.3">
      <c r="A2" s="9" t="s">
        <v>2</v>
      </c>
      <c r="C2" s="9"/>
      <c r="D2" s="188"/>
      <c r="E2" s="188"/>
      <c r="F2" s="25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80" ht="14.7" customHeight="1" x14ac:dyDescent="0.3">
      <c r="A3" s="9"/>
      <c r="B3" s="188"/>
      <c r="C3" s="353" t="s">
        <v>169</v>
      </c>
      <c r="D3" s="354"/>
      <c r="E3" s="354"/>
      <c r="F3" s="355"/>
      <c r="G3" s="350" t="s">
        <v>170</v>
      </c>
      <c r="H3" s="350"/>
      <c r="I3" s="350"/>
      <c r="J3" s="350"/>
      <c r="K3" s="350"/>
      <c r="L3" s="350"/>
      <c r="M3" s="356"/>
      <c r="N3" s="11" t="s">
        <v>6</v>
      </c>
      <c r="O3" s="349" t="s">
        <v>7</v>
      </c>
      <c r="P3" s="350"/>
      <c r="Q3" s="356"/>
      <c r="R3" s="349" t="s">
        <v>171</v>
      </c>
      <c r="S3" s="350"/>
      <c r="T3" s="350"/>
      <c r="U3" s="350"/>
      <c r="V3" s="350"/>
      <c r="W3" s="350"/>
      <c r="X3" s="350"/>
      <c r="Y3" s="356"/>
      <c r="Z3" s="349" t="s">
        <v>172</v>
      </c>
      <c r="AA3" s="350"/>
      <c r="AB3" s="356"/>
      <c r="AC3" s="349" t="s">
        <v>173</v>
      </c>
      <c r="AD3" s="350"/>
      <c r="AE3" s="350"/>
      <c r="AF3" s="12" t="s">
        <v>11</v>
      </c>
      <c r="AG3" s="346" t="s">
        <v>170</v>
      </c>
      <c r="AH3" s="347"/>
      <c r="AI3" s="347"/>
      <c r="AJ3" s="347"/>
      <c r="AK3" s="347"/>
      <c r="AL3" s="347"/>
      <c r="AM3" s="348"/>
      <c r="AN3" s="13"/>
      <c r="AO3" s="346" t="s">
        <v>7</v>
      </c>
      <c r="AP3" s="347"/>
      <c r="AQ3" s="348"/>
      <c r="AR3" s="346" t="s">
        <v>171</v>
      </c>
      <c r="AS3" s="347"/>
      <c r="AT3" s="347"/>
      <c r="AU3" s="347"/>
      <c r="AV3" s="347"/>
      <c r="AW3" s="347"/>
      <c r="AX3" s="347"/>
      <c r="AY3" s="348"/>
      <c r="AZ3" s="346" t="s">
        <v>174</v>
      </c>
      <c r="BA3" s="348"/>
      <c r="BB3" s="14" t="s">
        <v>175</v>
      </c>
    </row>
    <row r="4" spans="1:80" s="16" customFormat="1" ht="43.2" customHeight="1" x14ac:dyDescent="0.3">
      <c r="A4" s="18" t="s">
        <v>19</v>
      </c>
      <c r="B4" s="190" t="s">
        <v>20</v>
      </c>
      <c r="C4" s="19" t="s">
        <v>21</v>
      </c>
      <c r="D4" s="20" t="s">
        <v>22</v>
      </c>
      <c r="E4" s="253" t="s">
        <v>23</v>
      </c>
      <c r="F4" s="254" t="s">
        <v>24</v>
      </c>
      <c r="G4" s="196" t="s">
        <v>25</v>
      </c>
      <c r="H4" s="196" t="s">
        <v>26</v>
      </c>
      <c r="I4" s="196" t="s">
        <v>27</v>
      </c>
      <c r="J4" s="196" t="s">
        <v>28</v>
      </c>
      <c r="K4" s="196" t="s">
        <v>29</v>
      </c>
      <c r="L4" s="196" t="s">
        <v>30</v>
      </c>
      <c r="M4" s="255" t="s">
        <v>31</v>
      </c>
      <c r="N4" s="256" t="s">
        <v>32</v>
      </c>
      <c r="O4" s="194" t="s">
        <v>33</v>
      </c>
      <c r="P4" s="196" t="s">
        <v>34</v>
      </c>
      <c r="Q4" s="255" t="s">
        <v>35</v>
      </c>
      <c r="R4" s="194" t="s">
        <v>36</v>
      </c>
      <c r="S4" s="196" t="s">
        <v>37</v>
      </c>
      <c r="T4" s="196" t="s">
        <v>38</v>
      </c>
      <c r="U4" s="196" t="s">
        <v>39</v>
      </c>
      <c r="V4" s="196" t="s">
        <v>40</v>
      </c>
      <c r="W4" s="196" t="s">
        <v>41</v>
      </c>
      <c r="X4" s="196" t="s">
        <v>42</v>
      </c>
      <c r="Y4" s="255" t="s">
        <v>43</v>
      </c>
      <c r="Z4" s="257" t="s">
        <v>44</v>
      </c>
      <c r="AA4" s="22" t="s">
        <v>45</v>
      </c>
      <c r="AB4" s="27" t="s">
        <v>46</v>
      </c>
      <c r="AC4" s="25" t="s">
        <v>47</v>
      </c>
      <c r="AD4" s="22" t="s">
        <v>48</v>
      </c>
      <c r="AE4" s="22" t="s">
        <v>49</v>
      </c>
      <c r="AF4" s="28" t="s">
        <v>20</v>
      </c>
      <c r="AG4" s="29" t="s">
        <v>25</v>
      </c>
      <c r="AH4" s="30" t="s">
        <v>26</v>
      </c>
      <c r="AI4" s="30" t="s">
        <v>27</v>
      </c>
      <c r="AJ4" s="30" t="s">
        <v>28</v>
      </c>
      <c r="AK4" s="30" t="s">
        <v>29</v>
      </c>
      <c r="AL4" s="30" t="s">
        <v>30</v>
      </c>
      <c r="AM4" s="27" t="s">
        <v>31</v>
      </c>
      <c r="AN4" s="31" t="s">
        <v>32</v>
      </c>
      <c r="AO4" s="29" t="s">
        <v>33</v>
      </c>
      <c r="AP4" s="30" t="s">
        <v>34</v>
      </c>
      <c r="AQ4" s="27" t="s">
        <v>35</v>
      </c>
      <c r="AR4" s="29" t="s">
        <v>36</v>
      </c>
      <c r="AS4" s="30" t="s">
        <v>37</v>
      </c>
      <c r="AT4" s="30" t="s">
        <v>38</v>
      </c>
      <c r="AU4" s="30" t="s">
        <v>39</v>
      </c>
      <c r="AV4" s="30" t="s">
        <v>40</v>
      </c>
      <c r="AW4" s="30" t="s">
        <v>41</v>
      </c>
      <c r="AX4" s="30" t="s">
        <v>42</v>
      </c>
      <c r="AY4" s="27" t="s">
        <v>43</v>
      </c>
      <c r="AZ4" s="29" t="s">
        <v>44</v>
      </c>
      <c r="BA4" s="27" t="s">
        <v>45</v>
      </c>
      <c r="BB4" s="27" t="s">
        <v>46</v>
      </c>
      <c r="BD4" s="32" t="s">
        <v>50</v>
      </c>
      <c r="BE4" s="33" t="s">
        <v>51</v>
      </c>
      <c r="BF4" s="34" t="str">
        <f>G4</f>
        <v>Bemesting
actueel</v>
      </c>
      <c r="BG4" s="34" t="str">
        <f t="shared" ref="BG4:BY4" si="0">H4</f>
        <v>Bemesting
historisch</v>
      </c>
      <c r="BH4" s="34" t="str">
        <f t="shared" si="0"/>
        <v>Depositie</v>
      </c>
      <c r="BI4" s="34" t="str">
        <f t="shared" si="0"/>
        <v>Infiltratie</v>
      </c>
      <c r="BJ4" s="34" t="str">
        <f t="shared" si="0"/>
        <v>Kwel</v>
      </c>
      <c r="BK4" s="34" t="str">
        <f t="shared" si="0"/>
        <v>Mineralisatie
en uitloging</v>
      </c>
      <c r="BL4" s="34" t="str">
        <f t="shared" si="0"/>
        <v>Natuur-
gronden</v>
      </c>
      <c r="BM4" s="34" t="str">
        <f t="shared" si="0"/>
        <v>Directe kwel</v>
      </c>
      <c r="BN4" s="34" t="str">
        <f t="shared" si="0"/>
        <v>Erfaf-
spoeling</v>
      </c>
      <c r="BO4" s="34" t="str">
        <f t="shared" si="0"/>
        <v>Glas-
tuinbouw</v>
      </c>
      <c r="BP4" s="34" t="str">
        <f t="shared" si="0"/>
        <v>Mee-
mesten</v>
      </c>
      <c r="BQ4" s="34" t="str">
        <f t="shared" si="0"/>
        <v>RWZI</v>
      </c>
      <c r="BR4" s="34" t="str">
        <f t="shared" si="0"/>
        <v>Industrie</v>
      </c>
      <c r="BS4" s="34" t="str">
        <f t="shared" si="0"/>
        <v>Depositie
open water</v>
      </c>
      <c r="BT4" s="34" t="str">
        <f t="shared" si="0"/>
        <v>Overstort</v>
      </c>
      <c r="BU4" s="34" t="str">
        <f t="shared" si="0"/>
        <v>Regen
waterriolen</v>
      </c>
      <c r="BV4" s="34" t="str">
        <f t="shared" si="0"/>
        <v>Water-
vogels</v>
      </c>
      <c r="BW4" s="34" t="str">
        <f t="shared" si="0"/>
        <v>Binnen-
vaart</v>
      </c>
      <c r="BX4" s="34" t="str">
        <f t="shared" si="0"/>
        <v>Overige</v>
      </c>
      <c r="BY4" s="34" t="str">
        <f t="shared" si="0"/>
        <v>Inlaat Rijkswater</v>
      </c>
      <c r="BZ4" s="35" t="s">
        <v>52</v>
      </c>
      <c r="CA4" s="359" t="s">
        <v>176</v>
      </c>
      <c r="CB4" s="360"/>
    </row>
    <row r="5" spans="1:80" x14ac:dyDescent="0.3">
      <c r="A5" s="57">
        <v>37101</v>
      </c>
      <c r="B5" s="188" t="s">
        <v>75</v>
      </c>
      <c r="C5" s="88">
        <f t="shared" ref="C5:C18" si="1">(SUMPRODUCT(G5:AA5,$G$19:$AA$19)+SUMPRODUCT(AG5:BA5,$AG$19:$BA$19))/AC5</f>
        <v>0.91162789155503454</v>
      </c>
      <c r="D5" s="258">
        <f>C5*F5</f>
        <v>1.7318341843412852</v>
      </c>
      <c r="E5" s="259">
        <v>2</v>
      </c>
      <c r="F5" s="260">
        <v>1.8997161016949153</v>
      </c>
      <c r="G5" s="61">
        <v>8892.6791712688591</v>
      </c>
      <c r="H5" s="61">
        <v>1506.915180909411</v>
      </c>
      <c r="I5" s="61">
        <v>1049.60347268193</v>
      </c>
      <c r="J5" s="61">
        <v>20.420213577766749</v>
      </c>
      <c r="K5" s="61">
        <v>8152.7901801217831</v>
      </c>
      <c r="L5" s="61">
        <v>3484.4250700134389</v>
      </c>
      <c r="M5" s="62">
        <v>22090.08373735331</v>
      </c>
      <c r="N5" s="63">
        <v>92422.893484164597</v>
      </c>
      <c r="O5" s="64">
        <v>394.09714303479939</v>
      </c>
      <c r="P5" s="61">
        <v>0.65551943400707857</v>
      </c>
      <c r="Q5" s="62">
        <v>1404.1923648472359</v>
      </c>
      <c r="R5" s="64">
        <v>0</v>
      </c>
      <c r="S5" s="61">
        <v>0</v>
      </c>
      <c r="T5" s="61">
        <v>6453.7644740858659</v>
      </c>
      <c r="U5" s="61">
        <v>36.179714392193269</v>
      </c>
      <c r="V5" s="61">
        <v>1260.7952645458461</v>
      </c>
      <c r="W5" s="61">
        <v>43.730695482163043</v>
      </c>
      <c r="X5" s="61">
        <v>0</v>
      </c>
      <c r="Y5" s="62">
        <v>130.7666368072455</v>
      </c>
      <c r="Z5" s="65">
        <v>0</v>
      </c>
      <c r="AA5" s="61"/>
      <c r="AB5" s="66">
        <f>SUM(AG5:BA5)</f>
        <v>0</v>
      </c>
      <c r="AC5" s="64">
        <f t="shared" ref="AC5:AC18" si="2">SUM(G5:AB5)</f>
        <v>147343.99232272047</v>
      </c>
      <c r="AD5" s="61">
        <v>49417.771702803497</v>
      </c>
      <c r="AE5" s="62">
        <f>AC5-AD5</f>
        <v>97926.220619916974</v>
      </c>
      <c r="AF5" s="67" t="s">
        <v>76</v>
      </c>
      <c r="AG5" s="68"/>
      <c r="AH5" s="69"/>
      <c r="AI5" s="69"/>
      <c r="AJ5" s="69"/>
      <c r="AK5" s="69"/>
      <c r="AL5" s="69"/>
      <c r="AM5" s="66"/>
      <c r="AN5" s="69"/>
      <c r="AO5" s="68"/>
      <c r="AP5" s="69"/>
      <c r="AQ5" s="66"/>
      <c r="AR5" s="68"/>
      <c r="AS5" s="69"/>
      <c r="AT5" s="69"/>
      <c r="AU5" s="69"/>
      <c r="AV5" s="69"/>
      <c r="AW5" s="69"/>
      <c r="AX5" s="69"/>
      <c r="AY5" s="66"/>
      <c r="AZ5" s="68"/>
      <c r="BA5" s="66"/>
      <c r="BB5" s="70"/>
      <c r="BC5" s="10"/>
      <c r="BD5" s="71">
        <f t="shared" ref="BD5:BE18" si="3">A5</f>
        <v>37101</v>
      </c>
      <c r="BE5" s="8" t="str">
        <f t="shared" si="3"/>
        <v>Tochten ABC1</v>
      </c>
      <c r="BF5" s="7">
        <f>(G5+AG5)/$AC5</f>
        <v>6.0353184619781793E-2</v>
      </c>
      <c r="BG5" s="7">
        <f t="shared" ref="BG5:BV18" si="4">(H5+AH5)/$AC5</f>
        <v>1.0227191194934416E-2</v>
      </c>
      <c r="BH5" s="7">
        <f t="shared" si="4"/>
        <v>7.1234901140932432E-3</v>
      </c>
      <c r="BI5" s="7">
        <f t="shared" si="4"/>
        <v>1.3858870834069253E-4</v>
      </c>
      <c r="BJ5" s="7">
        <f t="shared" si="4"/>
        <v>5.5331676925551999E-2</v>
      </c>
      <c r="BK5" s="7">
        <f t="shared" si="4"/>
        <v>2.3648233057114876E-2</v>
      </c>
      <c r="BL5" s="7">
        <f t="shared" si="4"/>
        <v>0.14992184879157108</v>
      </c>
      <c r="BM5" s="7">
        <f t="shared" si="4"/>
        <v>0.62725932715149435</v>
      </c>
      <c r="BN5" s="7">
        <f t="shared" si="4"/>
        <v>2.6746739844786295E-3</v>
      </c>
      <c r="BO5" s="7">
        <f t="shared" si="4"/>
        <v>4.4489050667999128E-6</v>
      </c>
      <c r="BP5" s="7">
        <f t="shared" si="4"/>
        <v>9.5300279482837744E-3</v>
      </c>
      <c r="BQ5" s="7">
        <f t="shared" si="4"/>
        <v>0</v>
      </c>
      <c r="BR5" s="7">
        <f t="shared" si="4"/>
        <v>0</v>
      </c>
      <c r="BS5" s="7">
        <f t="shared" si="4"/>
        <v>4.3800662465765791E-2</v>
      </c>
      <c r="BT5" s="7">
        <f t="shared" si="4"/>
        <v>2.4554590806084972E-4</v>
      </c>
      <c r="BU5" s="7">
        <f t="shared" si="4"/>
        <v>8.5568148702282118E-3</v>
      </c>
      <c r="BV5" s="7">
        <f t="shared" si="4"/>
        <v>2.9679320339292696E-4</v>
      </c>
      <c r="BW5" s="7">
        <f t="shared" ref="BW5:BY18" si="5">(X5+AX5)/$AC5</f>
        <v>0</v>
      </c>
      <c r="BX5" s="7">
        <f t="shared" si="5"/>
        <v>8.8749215184039283E-4</v>
      </c>
      <c r="BY5" s="7">
        <f t="shared" si="5"/>
        <v>0</v>
      </c>
      <c r="BZ5" s="72">
        <f>SUM(BF5:BY5)</f>
        <v>0.99999999999999967</v>
      </c>
      <c r="CA5" s="261">
        <f>SUMPRODUCT(BF5:BY5,BF19:BY19)</f>
        <v>0.91162789155503454</v>
      </c>
      <c r="CB5" s="74">
        <f>C5-CA5</f>
        <v>0</v>
      </c>
    </row>
    <row r="6" spans="1:80" x14ac:dyDescent="0.3">
      <c r="A6" s="91">
        <v>37102</v>
      </c>
      <c r="B6" t="s">
        <v>77</v>
      </c>
      <c r="C6" s="88">
        <f t="shared" si="1"/>
        <v>0.86377139013537829</v>
      </c>
      <c r="D6" s="258">
        <f t="shared" ref="D6:D18" si="6">C6*F6</f>
        <v>2.7563795743164756</v>
      </c>
      <c r="E6" s="262">
        <v>2.4</v>
      </c>
      <c r="F6" s="260">
        <v>3.1910984848484851</v>
      </c>
      <c r="G6" s="8">
        <v>41162.30327159731</v>
      </c>
      <c r="H6" s="8">
        <v>11152.16337601972</v>
      </c>
      <c r="I6" s="8">
        <v>13131.43308793408</v>
      </c>
      <c r="J6" s="8">
        <v>73.956824426016851</v>
      </c>
      <c r="K6" s="8">
        <v>43153.98146815403</v>
      </c>
      <c r="L6" s="8">
        <v>31689.24276778772</v>
      </c>
      <c r="M6" s="95">
        <v>7632.9876665538368</v>
      </c>
      <c r="N6" s="96">
        <v>228763.54517519599</v>
      </c>
      <c r="O6" s="71">
        <v>812.36558007080043</v>
      </c>
      <c r="P6" s="8">
        <v>1.252247875815427</v>
      </c>
      <c r="Q6" s="95">
        <v>3049.0785226454632</v>
      </c>
      <c r="R6" s="71">
        <v>0</v>
      </c>
      <c r="S6" s="8">
        <v>0</v>
      </c>
      <c r="T6" s="8">
        <v>13562.824550995379</v>
      </c>
      <c r="U6" s="8">
        <v>81.903100021212424</v>
      </c>
      <c r="V6" s="8">
        <v>2411.272353016222</v>
      </c>
      <c r="W6" s="8">
        <v>86.638614388303509</v>
      </c>
      <c r="X6" s="8">
        <v>0</v>
      </c>
      <c r="Y6" s="95">
        <v>282.601043817159</v>
      </c>
      <c r="Z6" s="97">
        <v>0</v>
      </c>
      <c r="AA6" s="8"/>
      <c r="AB6" s="98">
        <f t="shared" ref="AB6:AB18" si="7">SUM(AG6:BA6)</f>
        <v>97926.220619916945</v>
      </c>
      <c r="AC6" s="71">
        <f t="shared" si="2"/>
        <v>494973.77027041605</v>
      </c>
      <c r="AD6" s="8">
        <v>32917.923902866001</v>
      </c>
      <c r="AE6" s="95">
        <f t="shared" ref="AE6:AE18" si="8">AC6-AD6</f>
        <v>462055.84636755002</v>
      </c>
      <c r="AF6" s="99" t="s">
        <v>78</v>
      </c>
      <c r="AG6" s="100">
        <v>6842.9135985903049</v>
      </c>
      <c r="AH6" s="101">
        <v>1161.165824874367</v>
      </c>
      <c r="AI6" s="101">
        <v>797.42161955877782</v>
      </c>
      <c r="AJ6" s="101">
        <v>16.02827238014704</v>
      </c>
      <c r="AK6" s="101">
        <v>6059.2814174623218</v>
      </c>
      <c r="AL6" s="101">
        <v>2670.3381987217808</v>
      </c>
      <c r="AM6" s="98">
        <v>16902.174798115731</v>
      </c>
      <c r="AN6" s="101">
        <v>57432.908707771727</v>
      </c>
      <c r="AO6" s="100">
        <v>245.32904004987901</v>
      </c>
      <c r="AP6" s="101">
        <v>0.41304623538908009</v>
      </c>
      <c r="AQ6" s="98">
        <v>872.95973657862442</v>
      </c>
      <c r="AR6" s="100">
        <v>0</v>
      </c>
      <c r="AS6" s="101">
        <v>0</v>
      </c>
      <c r="AT6" s="101">
        <v>4010.7235573931061</v>
      </c>
      <c r="AU6" s="101">
        <v>22.477734214276939</v>
      </c>
      <c r="AV6" s="101">
        <v>783.52650966424198</v>
      </c>
      <c r="AW6" s="101">
        <v>27.191446101110969</v>
      </c>
      <c r="AX6" s="101">
        <v>0</v>
      </c>
      <c r="AY6" s="98">
        <v>81.367112205163338</v>
      </c>
      <c r="AZ6" s="100">
        <v>0</v>
      </c>
      <c r="BA6" s="98"/>
      <c r="BB6" s="102">
        <f t="shared" ref="BB6:BB18" si="9">SUM(AG6:BA6)</f>
        <v>97926.220619916945</v>
      </c>
      <c r="BC6" s="10"/>
      <c r="BD6" s="71">
        <f t="shared" si="3"/>
        <v>37102</v>
      </c>
      <c r="BE6" s="8" t="str">
        <f t="shared" si="3"/>
        <v>Tochten ABC2</v>
      </c>
      <c r="BF6" s="7">
        <f t="shared" ref="BF6:BF18" si="10">(G6+AG6)/$AC6</f>
        <v>9.69853752936468E-2</v>
      </c>
      <c r="BG6" s="7">
        <f t="shared" si="4"/>
        <v>2.4876730728917253E-2</v>
      </c>
      <c r="BH6" s="7">
        <f t="shared" si="4"/>
        <v>2.8140591570909281E-2</v>
      </c>
      <c r="BI6" s="7">
        <f t="shared" si="4"/>
        <v>1.8179770769873903E-4</v>
      </c>
      <c r="BJ6" s="7">
        <f t="shared" si="4"/>
        <v>9.9426001621722229E-2</v>
      </c>
      <c r="BK6" s="7">
        <f t="shared" si="4"/>
        <v>6.9416973242315522E-2</v>
      </c>
      <c r="BL6" s="7">
        <f t="shared" si="4"/>
        <v>4.9568611385741548E-2</v>
      </c>
      <c r="BM6" s="7">
        <f t="shared" si="4"/>
        <v>0.57820529303322821</v>
      </c>
      <c r="BN6" s="7">
        <f t="shared" si="4"/>
        <v>2.1368700396848009E-3</v>
      </c>
      <c r="BO6" s="7">
        <f t="shared" si="4"/>
        <v>3.3644088055306788E-6</v>
      </c>
      <c r="BP6" s="7">
        <f t="shared" si="4"/>
        <v>7.923729487890609E-3</v>
      </c>
      <c r="BQ6" s="7">
        <f t="shared" si="4"/>
        <v>0</v>
      </c>
      <c r="BR6" s="7">
        <f t="shared" si="4"/>
        <v>0</v>
      </c>
      <c r="BS6" s="7">
        <f t="shared" si="4"/>
        <v>3.5503998724594303E-2</v>
      </c>
      <c r="BT6" s="7">
        <f t="shared" si="4"/>
        <v>2.108815466695611E-4</v>
      </c>
      <c r="BU6" s="7">
        <f t="shared" si="4"/>
        <v>6.4544811353035312E-3</v>
      </c>
      <c r="BV6" s="7">
        <f t="shared" si="4"/>
        <v>2.2997190422277607E-4</v>
      </c>
      <c r="BW6" s="7">
        <f t="shared" si="5"/>
        <v>0</v>
      </c>
      <c r="BX6" s="7">
        <f t="shared" si="5"/>
        <v>7.3532816864917464E-4</v>
      </c>
      <c r="BY6" s="7">
        <f t="shared" si="5"/>
        <v>0</v>
      </c>
      <c r="BZ6" s="72">
        <f t="shared" ref="BZ6:BZ36" si="11">SUM(BF6:BY6)</f>
        <v>1</v>
      </c>
      <c r="CA6" s="261">
        <f t="shared" ref="CA6:CA12" si="12">SUMPRODUCT(BF6:BY6,$BF$19:$BY$19)</f>
        <v>0.86377139013537829</v>
      </c>
      <c r="CB6" s="74">
        <f t="shared" ref="CB6:CB18" si="13">C6-CA6</f>
        <v>0</v>
      </c>
    </row>
    <row r="7" spans="1:80" x14ac:dyDescent="0.3">
      <c r="A7" s="91">
        <v>37103</v>
      </c>
      <c r="B7" t="s">
        <v>79</v>
      </c>
      <c r="C7" s="88">
        <f t="shared" si="1"/>
        <v>0.76691396891459496</v>
      </c>
      <c r="D7" s="258">
        <f t="shared" si="6"/>
        <v>1.0581815033586173</v>
      </c>
      <c r="E7" s="262">
        <v>4</v>
      </c>
      <c r="F7" s="260">
        <v>1.3797916666666667</v>
      </c>
      <c r="G7" s="8">
        <v>12977.85015793431</v>
      </c>
      <c r="H7" s="8">
        <v>2118.1884518412839</v>
      </c>
      <c r="I7" s="8">
        <v>4149.2357183370523</v>
      </c>
      <c r="J7" s="8">
        <v>12.334596947364799</v>
      </c>
      <c r="K7" s="8">
        <v>16530.908958963919</v>
      </c>
      <c r="L7" s="8">
        <v>6290.3459412797238</v>
      </c>
      <c r="M7" s="95">
        <v>51313.433140866713</v>
      </c>
      <c r="N7" s="96">
        <v>10794.22202749676</v>
      </c>
      <c r="O7" s="71">
        <v>218.47717289303489</v>
      </c>
      <c r="P7" s="8">
        <v>43.536012918976972</v>
      </c>
      <c r="Q7" s="95">
        <v>844.08122116403467</v>
      </c>
      <c r="R7" s="71">
        <v>0</v>
      </c>
      <c r="S7" s="8">
        <v>0</v>
      </c>
      <c r="T7" s="8">
        <v>20943.993025235439</v>
      </c>
      <c r="U7" s="8">
        <v>0</v>
      </c>
      <c r="V7" s="8">
        <v>45642.986155527091</v>
      </c>
      <c r="W7" s="8">
        <v>1522.601308057674</v>
      </c>
      <c r="X7" s="8">
        <v>52.971832322140258</v>
      </c>
      <c r="Y7" s="95">
        <v>189.60438293921121</v>
      </c>
      <c r="Z7" s="97">
        <v>1578.8453440611111</v>
      </c>
      <c r="AA7" s="8"/>
      <c r="AB7" s="98">
        <f t="shared" si="7"/>
        <v>0</v>
      </c>
      <c r="AC7" s="71">
        <f t="shared" si="2"/>
        <v>175223.61544878583</v>
      </c>
      <c r="AD7" s="8">
        <v>90386.631597632251</v>
      </c>
      <c r="AE7" s="95">
        <f t="shared" si="8"/>
        <v>84836.983851153578</v>
      </c>
      <c r="AF7" s="99" t="s">
        <v>80</v>
      </c>
      <c r="AG7" s="100"/>
      <c r="AH7" s="101"/>
      <c r="AI7" s="101"/>
      <c r="AJ7" s="101"/>
      <c r="AK7" s="101"/>
      <c r="AL7" s="101"/>
      <c r="AM7" s="98"/>
      <c r="AN7" s="101"/>
      <c r="AO7" s="100"/>
      <c r="AP7" s="101"/>
      <c r="AQ7" s="98"/>
      <c r="AR7" s="100"/>
      <c r="AS7" s="101"/>
      <c r="AT7" s="101"/>
      <c r="AU7" s="101"/>
      <c r="AV7" s="101"/>
      <c r="AW7" s="101"/>
      <c r="AX7" s="101"/>
      <c r="AY7" s="98"/>
      <c r="AZ7" s="100"/>
      <c r="BA7" s="98"/>
      <c r="BB7" s="102"/>
      <c r="BC7" s="10"/>
      <c r="BD7" s="71">
        <f t="shared" si="3"/>
        <v>37103</v>
      </c>
      <c r="BE7" s="8" t="str">
        <f t="shared" si="3"/>
        <v>Tochten DE Almere</v>
      </c>
      <c r="BF7" s="7">
        <f t="shared" si="10"/>
        <v>7.4064503946544027E-2</v>
      </c>
      <c r="BG7" s="7">
        <f t="shared" si="4"/>
        <v>1.2088487310435539E-2</v>
      </c>
      <c r="BH7" s="7">
        <f t="shared" si="4"/>
        <v>2.3679660459635855E-2</v>
      </c>
      <c r="BI7" s="7">
        <f t="shared" si="4"/>
        <v>7.0393462181300232E-5</v>
      </c>
      <c r="BJ7" s="7">
        <f t="shared" si="4"/>
        <v>9.4341786731341332E-2</v>
      </c>
      <c r="BK7" s="7">
        <f t="shared" si="4"/>
        <v>3.5898962164253818E-2</v>
      </c>
      <c r="BL7" s="7">
        <f t="shared" si="4"/>
        <v>0.29284541932000341</v>
      </c>
      <c r="BM7" s="7">
        <f t="shared" si="4"/>
        <v>6.1602552828569412E-2</v>
      </c>
      <c r="BN7" s="7">
        <f t="shared" si="4"/>
        <v>1.246847762691503E-3</v>
      </c>
      <c r="BO7" s="7">
        <f t="shared" si="4"/>
        <v>2.4845973419434229E-4</v>
      </c>
      <c r="BP7" s="7">
        <f t="shared" si="4"/>
        <v>4.8171658768834261E-3</v>
      </c>
      <c r="BQ7" s="7">
        <f t="shared" si="4"/>
        <v>0</v>
      </c>
      <c r="BR7" s="7">
        <f t="shared" si="4"/>
        <v>0</v>
      </c>
      <c r="BS7" s="7">
        <f t="shared" si="4"/>
        <v>0.11952722794580692</v>
      </c>
      <c r="BT7" s="7">
        <f t="shared" si="4"/>
        <v>0</v>
      </c>
      <c r="BU7" s="7">
        <f t="shared" si="4"/>
        <v>0.2604842163462126</v>
      </c>
      <c r="BV7" s="7">
        <f t="shared" si="4"/>
        <v>8.6894754691481547E-3</v>
      </c>
      <c r="BW7" s="7">
        <f t="shared" si="5"/>
        <v>3.0230989234223858E-4</v>
      </c>
      <c r="BX7" s="7">
        <f t="shared" si="5"/>
        <v>1.0820709437685844E-3</v>
      </c>
      <c r="BY7" s="7">
        <f t="shared" si="5"/>
        <v>9.0104598059875911E-3</v>
      </c>
      <c r="BZ7" s="72">
        <f t="shared" si="11"/>
        <v>0.99999999999999989</v>
      </c>
      <c r="CA7" s="261">
        <f t="shared" si="12"/>
        <v>0.76691396891459507</v>
      </c>
      <c r="CB7" s="74">
        <f t="shared" si="13"/>
        <v>0</v>
      </c>
    </row>
    <row r="8" spans="1:80" x14ac:dyDescent="0.3">
      <c r="A8" s="91">
        <v>37104</v>
      </c>
      <c r="B8" t="s">
        <v>81</v>
      </c>
      <c r="C8" s="88">
        <f t="shared" si="1"/>
        <v>0.79320086136984302</v>
      </c>
      <c r="D8" s="258">
        <f t="shared" si="6"/>
        <v>5.1378263793795966</v>
      </c>
      <c r="E8" s="262">
        <v>4</v>
      </c>
      <c r="F8" s="260">
        <v>6.4773333333333332</v>
      </c>
      <c r="G8" s="8">
        <v>19869.095396422439</v>
      </c>
      <c r="H8" s="8">
        <v>7403.5702561130183</v>
      </c>
      <c r="I8" s="8">
        <v>10593.664776152071</v>
      </c>
      <c r="J8" s="8">
        <v>24.33119030355822</v>
      </c>
      <c r="K8" s="8">
        <v>10929.941707080039</v>
      </c>
      <c r="L8" s="8">
        <v>23264.448682811759</v>
      </c>
      <c r="M8" s="95">
        <v>18043.733182264659</v>
      </c>
      <c r="N8" s="96">
        <v>63578.05336291634</v>
      </c>
      <c r="O8" s="71">
        <v>931.40268443872799</v>
      </c>
      <c r="P8" s="8">
        <v>14.69316840666151</v>
      </c>
      <c r="Q8" s="95">
        <v>1987.550672310231</v>
      </c>
      <c r="R8" s="71">
        <v>0</v>
      </c>
      <c r="S8" s="8">
        <v>0</v>
      </c>
      <c r="T8" s="8">
        <v>12606.39343555816</v>
      </c>
      <c r="U8" s="8">
        <v>0</v>
      </c>
      <c r="V8" s="8">
        <v>14866.297159778371</v>
      </c>
      <c r="W8" s="8">
        <v>63.694263874772631</v>
      </c>
      <c r="X8" s="8">
        <v>54.925942866737699</v>
      </c>
      <c r="Y8" s="95">
        <v>135.22937016406459</v>
      </c>
      <c r="Z8" s="97">
        <v>0</v>
      </c>
      <c r="AA8" s="8"/>
      <c r="AB8" s="98">
        <f t="shared" si="7"/>
        <v>0</v>
      </c>
      <c r="AC8" s="71">
        <f t="shared" si="2"/>
        <v>184367.02525146166</v>
      </c>
      <c r="AD8" s="8">
        <v>38875.8517640387</v>
      </c>
      <c r="AE8" s="95">
        <f t="shared" si="8"/>
        <v>145491.17348742296</v>
      </c>
      <c r="AF8" s="99" t="s">
        <v>82</v>
      </c>
      <c r="AG8" s="100"/>
      <c r="AH8" s="101"/>
      <c r="AI8" s="101"/>
      <c r="AJ8" s="101"/>
      <c r="AK8" s="101"/>
      <c r="AL8" s="101"/>
      <c r="AM8" s="98"/>
      <c r="AN8" s="101"/>
      <c r="AO8" s="100"/>
      <c r="AP8" s="101"/>
      <c r="AQ8" s="98"/>
      <c r="AR8" s="100"/>
      <c r="AS8" s="101"/>
      <c r="AT8" s="101"/>
      <c r="AU8" s="101"/>
      <c r="AV8" s="101"/>
      <c r="AW8" s="101"/>
      <c r="AX8" s="101"/>
      <c r="AY8" s="98"/>
      <c r="AZ8" s="100"/>
      <c r="BA8" s="98"/>
      <c r="BB8" s="102"/>
      <c r="BC8" s="10"/>
      <c r="BD8" s="71">
        <f t="shared" si="3"/>
        <v>37104</v>
      </c>
      <c r="BE8" s="8" t="str">
        <f t="shared" si="3"/>
        <v>Tochten DE Zuidlob</v>
      </c>
      <c r="BF8" s="7">
        <f t="shared" si="10"/>
        <v>0.10776924653051491</v>
      </c>
      <c r="BG8" s="7">
        <f t="shared" si="4"/>
        <v>4.0156694213703069E-2</v>
      </c>
      <c r="BH8" s="7">
        <f t="shared" si="4"/>
        <v>5.7459650182581035E-2</v>
      </c>
      <c r="BI8" s="7">
        <f t="shared" si="4"/>
        <v>1.3197148606358675E-4</v>
      </c>
      <c r="BJ8" s="7">
        <f t="shared" si="4"/>
        <v>5.9283603953431942E-2</v>
      </c>
      <c r="BK8" s="7">
        <f t="shared" si="4"/>
        <v>0.1261855185388002</v>
      </c>
      <c r="BL8" s="7">
        <f t="shared" si="4"/>
        <v>9.7868548660773103E-2</v>
      </c>
      <c r="BM8" s="7">
        <f t="shared" si="4"/>
        <v>0.34484503547313322</v>
      </c>
      <c r="BN8" s="7">
        <f t="shared" si="4"/>
        <v>5.0518940855522852E-3</v>
      </c>
      <c r="BO8" s="7">
        <f t="shared" si="4"/>
        <v>7.9695207896429525E-5</v>
      </c>
      <c r="BP8" s="7">
        <f t="shared" si="4"/>
        <v>1.0780402133187175E-2</v>
      </c>
      <c r="BQ8" s="7">
        <f t="shared" si="4"/>
        <v>0</v>
      </c>
      <c r="BR8" s="7">
        <f t="shared" si="4"/>
        <v>0</v>
      </c>
      <c r="BS8" s="7">
        <f t="shared" si="4"/>
        <v>6.8376616796653647E-2</v>
      </c>
      <c r="BT8" s="7">
        <f t="shared" si="4"/>
        <v>0</v>
      </c>
      <c r="BU8" s="7">
        <f t="shared" si="4"/>
        <v>8.0634251919517327E-2</v>
      </c>
      <c r="BV8" s="7">
        <f t="shared" si="4"/>
        <v>3.4547535703794552E-4</v>
      </c>
      <c r="BW8" s="7">
        <f t="shared" si="5"/>
        <v>2.9791630467445668E-4</v>
      </c>
      <c r="BX8" s="7">
        <f t="shared" si="5"/>
        <v>7.3347915647943389E-4</v>
      </c>
      <c r="BY8" s="7">
        <f t="shared" si="5"/>
        <v>0</v>
      </c>
      <c r="BZ8" s="72">
        <f t="shared" si="11"/>
        <v>0.99999999999999978</v>
      </c>
      <c r="CA8" s="261">
        <f t="shared" si="12"/>
        <v>0.79320086136984291</v>
      </c>
      <c r="CB8" s="74">
        <f t="shared" si="13"/>
        <v>0</v>
      </c>
    </row>
    <row r="9" spans="1:80" x14ac:dyDescent="0.3">
      <c r="A9" s="91">
        <v>37105</v>
      </c>
      <c r="B9" t="s">
        <v>83</v>
      </c>
      <c r="C9" s="88">
        <f t="shared" si="1"/>
        <v>0.81422879414710991</v>
      </c>
      <c r="D9" s="258">
        <f t="shared" si="6"/>
        <v>3.4270980390033476</v>
      </c>
      <c r="E9" s="262">
        <v>2.5</v>
      </c>
      <c r="F9" s="260">
        <v>4.2090111079812296</v>
      </c>
      <c r="G9" s="8">
        <v>57699.380852578113</v>
      </c>
      <c r="H9" s="8">
        <v>18370.180994693779</v>
      </c>
      <c r="I9" s="8">
        <v>41251.782673694121</v>
      </c>
      <c r="J9" s="8">
        <v>63.181368209308047</v>
      </c>
      <c r="K9" s="8">
        <v>25851.58635318471</v>
      </c>
      <c r="L9" s="8">
        <v>60304.448742538079</v>
      </c>
      <c r="M9" s="95">
        <v>20798.781508159471</v>
      </c>
      <c r="N9" s="96">
        <v>233047.1715210866</v>
      </c>
      <c r="O9" s="71">
        <v>883.70650926400458</v>
      </c>
      <c r="P9" s="8">
        <v>10.18774954221823</v>
      </c>
      <c r="Q9" s="95">
        <v>4652.9441816909521</v>
      </c>
      <c r="R9" s="71">
        <v>0</v>
      </c>
      <c r="S9" s="8">
        <v>0</v>
      </c>
      <c r="T9" s="8">
        <v>10049.34538849743</v>
      </c>
      <c r="U9" s="8">
        <v>0</v>
      </c>
      <c r="V9" s="8">
        <v>19213.37106658252</v>
      </c>
      <c r="W9" s="8">
        <v>602.76393653225171</v>
      </c>
      <c r="X9" s="8">
        <v>0</v>
      </c>
      <c r="Y9" s="95">
        <v>672.43316716611969</v>
      </c>
      <c r="Z9" s="97">
        <v>574.323044117314</v>
      </c>
      <c r="AA9" s="8"/>
      <c r="AB9" s="98">
        <f t="shared" si="7"/>
        <v>13714.215088864743</v>
      </c>
      <c r="AC9" s="71">
        <f t="shared" si="2"/>
        <v>507759.80414640176</v>
      </c>
      <c r="AD9" s="8">
        <v>84986.595920439097</v>
      </c>
      <c r="AE9" s="95">
        <f t="shared" si="8"/>
        <v>422773.20822596265</v>
      </c>
      <c r="AF9" s="99" t="s">
        <v>84</v>
      </c>
      <c r="AG9" s="100">
        <v>679.08178394125923</v>
      </c>
      <c r="AH9" s="101">
        <v>196.3025670214528</v>
      </c>
      <c r="AI9" s="101">
        <v>295.3953172267486</v>
      </c>
      <c r="AJ9" s="101">
        <v>0.96159962471446014</v>
      </c>
      <c r="AK9" s="101">
        <v>682.08383046371432</v>
      </c>
      <c r="AL9" s="101">
        <v>572.68769387959696</v>
      </c>
      <c r="AM9" s="98">
        <v>431.44504233161592</v>
      </c>
      <c r="AN9" s="101">
        <v>8656.931446178547</v>
      </c>
      <c r="AO9" s="100">
        <v>33.064383861395882</v>
      </c>
      <c r="AP9" s="101">
        <v>0.35379839043862538</v>
      </c>
      <c r="AQ9" s="98">
        <v>119.27072927614419</v>
      </c>
      <c r="AR9" s="100">
        <v>154.98318591162641</v>
      </c>
      <c r="AS9" s="101">
        <v>0</v>
      </c>
      <c r="AT9" s="101">
        <v>523.86386281438706</v>
      </c>
      <c r="AU9" s="101">
        <v>3.9202871634261021</v>
      </c>
      <c r="AV9" s="101">
        <v>357.3616430094022</v>
      </c>
      <c r="AW9" s="101">
        <v>6.6295274481081252</v>
      </c>
      <c r="AX9" s="101">
        <v>12.48755128744869</v>
      </c>
      <c r="AY9" s="98">
        <v>10.60779000727157</v>
      </c>
      <c r="AZ9" s="100">
        <v>976.78304902744503</v>
      </c>
      <c r="BA9" s="98"/>
      <c r="BB9" s="102">
        <f>SUM(AG9:BA9)</f>
        <v>13714.215088864743</v>
      </c>
      <c r="BC9" s="10"/>
      <c r="BD9" s="71">
        <f t="shared" si="3"/>
        <v>37105</v>
      </c>
      <c r="BE9" s="8" t="str">
        <f t="shared" si="3"/>
        <v>Tochten FGIK</v>
      </c>
      <c r="BF9" s="7">
        <f t="shared" si="10"/>
        <v>0.114972595624539</v>
      </c>
      <c r="BG9" s="7">
        <f t="shared" si="4"/>
        <v>3.6565485117372502E-2</v>
      </c>
      <c r="BH9" s="7">
        <f t="shared" si="4"/>
        <v>8.1824472224157438E-2</v>
      </c>
      <c r="BI9" s="7">
        <f t="shared" si="4"/>
        <v>1.2632541471425384E-4</v>
      </c>
      <c r="BJ9" s="7">
        <f t="shared" si="4"/>
        <v>5.225634240239703E-2</v>
      </c>
      <c r="BK9" s="7">
        <f t="shared" si="4"/>
        <v>0.11989357160470514</v>
      </c>
      <c r="BL9" s="7">
        <f t="shared" si="4"/>
        <v>4.1811554158331529E-2</v>
      </c>
      <c r="BM9" s="7">
        <f t="shared" si="4"/>
        <v>0.47602055340634036</v>
      </c>
      <c r="BN9" s="7">
        <f t="shared" si="4"/>
        <v>1.8055208105072237E-3</v>
      </c>
      <c r="BO9" s="7">
        <f t="shared" si="4"/>
        <v>2.0760894908525337E-5</v>
      </c>
      <c r="BP9" s="7">
        <f t="shared" si="4"/>
        <v>9.3985677322168046E-3</v>
      </c>
      <c r="BQ9" s="7">
        <f t="shared" si="4"/>
        <v>3.0522933214882896E-4</v>
      </c>
      <c r="BR9" s="7">
        <f t="shared" si="4"/>
        <v>0</v>
      </c>
      <c r="BS9" s="7">
        <f t="shared" si="4"/>
        <v>2.0823249822002957E-2</v>
      </c>
      <c r="BT9" s="7">
        <f t="shared" si="4"/>
        <v>7.720751291088356E-6</v>
      </c>
      <c r="BU9" s="7">
        <f t="shared" si="4"/>
        <v>3.854328867660646E-2</v>
      </c>
      <c r="BV9" s="7">
        <f t="shared" si="4"/>
        <v>1.2001609008905599E-3</v>
      </c>
      <c r="BW9" s="7">
        <f t="shared" si="5"/>
        <v>2.4593422294310187E-5</v>
      </c>
      <c r="BX9" s="7">
        <f t="shared" si="5"/>
        <v>1.3452048618177953E-3</v>
      </c>
      <c r="BY9" s="7">
        <f t="shared" si="5"/>
        <v>3.0548028427581689E-3</v>
      </c>
      <c r="BZ9" s="72">
        <f t="shared" si="11"/>
        <v>1.0000000000000002</v>
      </c>
      <c r="CA9" s="261">
        <f t="shared" si="12"/>
        <v>0.81422879414711025</v>
      </c>
      <c r="CB9" s="74">
        <f t="shared" si="13"/>
        <v>0</v>
      </c>
    </row>
    <row r="10" spans="1:80" x14ac:dyDescent="0.3">
      <c r="A10" s="91">
        <v>37106</v>
      </c>
      <c r="B10" t="s">
        <v>85</v>
      </c>
      <c r="C10" s="88">
        <f t="shared" si="1"/>
        <v>0.50769528047645474</v>
      </c>
      <c r="D10" s="258">
        <f t="shared" si="6"/>
        <v>3.127148576428771</v>
      </c>
      <c r="E10" s="262">
        <v>2.5</v>
      </c>
      <c r="F10" s="260">
        <v>6.1594990079365095</v>
      </c>
      <c r="G10" s="8">
        <v>38989.084511976573</v>
      </c>
      <c r="H10" s="8">
        <v>15876.042597390089</v>
      </c>
      <c r="I10" s="8">
        <v>9464.0703761699369</v>
      </c>
      <c r="J10" s="8">
        <v>15.287193181414469</v>
      </c>
      <c r="K10" s="8">
        <v>6684.006712106855</v>
      </c>
      <c r="L10" s="8">
        <v>20923.48683563303</v>
      </c>
      <c r="M10" s="95">
        <v>8875.3206537768965</v>
      </c>
      <c r="N10" s="96">
        <v>8305.8883612004374</v>
      </c>
      <c r="O10" s="71">
        <v>555.81987663226323</v>
      </c>
      <c r="P10" s="8">
        <v>8.8325018610282164</v>
      </c>
      <c r="Q10" s="95">
        <v>2622.531392816853</v>
      </c>
      <c r="R10" s="71">
        <v>0</v>
      </c>
      <c r="S10" s="8">
        <v>0</v>
      </c>
      <c r="T10" s="8">
        <v>2250.8789383395369</v>
      </c>
      <c r="U10" s="8">
        <v>0</v>
      </c>
      <c r="V10" s="8">
        <v>868.62690898093365</v>
      </c>
      <c r="W10" s="8">
        <v>77.877863005878936</v>
      </c>
      <c r="X10" s="8">
        <v>0</v>
      </c>
      <c r="Y10" s="95">
        <v>155.29640222650551</v>
      </c>
      <c r="Z10" s="97">
        <v>0</v>
      </c>
      <c r="AA10" s="8"/>
      <c r="AB10" s="98">
        <f t="shared" si="7"/>
        <v>4815.9265190412516</v>
      </c>
      <c r="AC10" s="71">
        <f t="shared" si="2"/>
        <v>120488.97764433949</v>
      </c>
      <c r="AD10" s="8">
        <v>20924.935514049361</v>
      </c>
      <c r="AE10" s="95">
        <f t="shared" si="8"/>
        <v>99564.042130290138</v>
      </c>
      <c r="AF10" s="99" t="s">
        <v>86</v>
      </c>
      <c r="AG10" s="100">
        <v>268.5930175248813</v>
      </c>
      <c r="AH10" s="101">
        <v>77.126608807518551</v>
      </c>
      <c r="AI10" s="101">
        <v>119.7822450377505</v>
      </c>
      <c r="AJ10" s="101">
        <v>0.38890654085506532</v>
      </c>
      <c r="AK10" s="101">
        <v>262.17605753412982</v>
      </c>
      <c r="AL10" s="101">
        <v>231.35742581013429</v>
      </c>
      <c r="AM10" s="98">
        <v>189.1850169649482</v>
      </c>
      <c r="AN10" s="101">
        <v>2927.951014833825</v>
      </c>
      <c r="AO10" s="100">
        <v>11.29648611325903</v>
      </c>
      <c r="AP10" s="101">
        <v>0.12792791367006459</v>
      </c>
      <c r="AQ10" s="98">
        <v>40.602708622007221</v>
      </c>
      <c r="AR10" s="100">
        <v>52.993172663914102</v>
      </c>
      <c r="AS10" s="101">
        <v>0</v>
      </c>
      <c r="AT10" s="101">
        <v>181.87719055220239</v>
      </c>
      <c r="AU10" s="101">
        <v>1.320473824211511</v>
      </c>
      <c r="AV10" s="101">
        <v>129.71440115564269</v>
      </c>
      <c r="AW10" s="101">
        <v>2.5068579156862509</v>
      </c>
      <c r="AX10" s="101">
        <v>4.197992092420602</v>
      </c>
      <c r="AY10" s="98">
        <v>3.6258737632494209</v>
      </c>
      <c r="AZ10" s="100">
        <v>311.10314137094502</v>
      </c>
      <c r="BA10" s="98"/>
      <c r="BB10" s="102">
        <f t="shared" si="9"/>
        <v>4815.9265190412516</v>
      </c>
      <c r="BC10" s="10"/>
      <c r="BD10" s="71">
        <f t="shared" si="3"/>
        <v>37106</v>
      </c>
      <c r="BE10" s="8" t="str">
        <f t="shared" si="3"/>
        <v>Tochten FGIK ZUID</v>
      </c>
      <c r="BF10" s="7">
        <f t="shared" si="10"/>
        <v>0.32581965833740106</v>
      </c>
      <c r="BG10" s="7">
        <f t="shared" si="4"/>
        <v>0.13240355689039313</v>
      </c>
      <c r="BH10" s="7">
        <f t="shared" si="4"/>
        <v>7.9541322439446643E-2</v>
      </c>
      <c r="BI10" s="7">
        <f t="shared" si="4"/>
        <v>1.301040147302303E-4</v>
      </c>
      <c r="BJ10" s="7">
        <f t="shared" si="4"/>
        <v>5.7649943633390204E-2</v>
      </c>
      <c r="BK10" s="7">
        <f t="shared" si="4"/>
        <v>0.17557493369964705</v>
      </c>
      <c r="BL10" s="7">
        <f t="shared" si="4"/>
        <v>7.5230994967012979E-2</v>
      </c>
      <c r="BM10" s="7">
        <f t="shared" si="4"/>
        <v>9.3235411202462148E-2</v>
      </c>
      <c r="BN10" s="7">
        <f t="shared" si="4"/>
        <v>4.7067903955459039E-3</v>
      </c>
      <c r="BO10" s="7">
        <f t="shared" si="4"/>
        <v>7.4367215573425824E-5</v>
      </c>
      <c r="BP10" s="7">
        <f t="shared" si="4"/>
        <v>2.2102719713498812E-2</v>
      </c>
      <c r="BQ10" s="7">
        <f t="shared" si="4"/>
        <v>4.3981759742654509E-4</v>
      </c>
      <c r="BR10" s="7">
        <f t="shared" si="4"/>
        <v>0</v>
      </c>
      <c r="BS10" s="7">
        <f t="shared" si="4"/>
        <v>2.0190694422462213E-2</v>
      </c>
      <c r="BT10" s="7">
        <f t="shared" si="4"/>
        <v>1.0959291464064856E-5</v>
      </c>
      <c r="BU10" s="7">
        <f t="shared" si="4"/>
        <v>8.2857480381607167E-3</v>
      </c>
      <c r="BV10" s="7">
        <f t="shared" si="4"/>
        <v>6.6715414549242485E-4</v>
      </c>
      <c r="BW10" s="7">
        <f t="shared" si="5"/>
        <v>3.4841295647907937E-5</v>
      </c>
      <c r="BX10" s="7">
        <f t="shared" si="5"/>
        <v>1.3189777114622318E-3</v>
      </c>
      <c r="BY10" s="7">
        <f t="shared" si="5"/>
        <v>2.5820049887821457E-3</v>
      </c>
      <c r="BZ10" s="72">
        <f t="shared" si="11"/>
        <v>1</v>
      </c>
      <c r="CA10" s="261">
        <f t="shared" si="12"/>
        <v>0.50769528047645474</v>
      </c>
      <c r="CB10" s="74">
        <f t="shared" si="13"/>
        <v>0</v>
      </c>
    </row>
    <row r="11" spans="1:80" x14ac:dyDescent="0.3">
      <c r="A11" s="91">
        <v>37107</v>
      </c>
      <c r="B11" t="s">
        <v>87</v>
      </c>
      <c r="C11" s="88">
        <f t="shared" si="1"/>
        <v>0.86096183062204135</v>
      </c>
      <c r="D11" s="258">
        <f t="shared" si="6"/>
        <v>2.9458945026037431</v>
      </c>
      <c r="E11" s="262">
        <v>2.4</v>
      </c>
      <c r="F11" s="260">
        <v>3.4216319444444436</v>
      </c>
      <c r="G11" s="8">
        <v>30704.036456826161</v>
      </c>
      <c r="H11" s="8">
        <v>9930.6960893940904</v>
      </c>
      <c r="I11" s="8">
        <v>22744.997221961119</v>
      </c>
      <c r="J11" s="8">
        <v>27.712520789237381</v>
      </c>
      <c r="K11" s="8">
        <v>4239.84831662548</v>
      </c>
      <c r="L11" s="8">
        <v>33580.261735557462</v>
      </c>
      <c r="M11" s="95">
        <v>1121.869914334593</v>
      </c>
      <c r="N11" s="96">
        <v>213704.2050654366</v>
      </c>
      <c r="O11" s="71">
        <v>368.16161036905578</v>
      </c>
      <c r="P11" s="8">
        <v>43.105683534620127</v>
      </c>
      <c r="Q11" s="95">
        <v>3253.322350989401</v>
      </c>
      <c r="R11" s="71">
        <v>0</v>
      </c>
      <c r="S11" s="8">
        <v>0</v>
      </c>
      <c r="T11" s="8">
        <v>1991.0940817958381</v>
      </c>
      <c r="U11" s="8">
        <v>77.56391767805691</v>
      </c>
      <c r="V11" s="8">
        <v>749.27140746498128</v>
      </c>
      <c r="W11" s="8">
        <v>0</v>
      </c>
      <c r="X11" s="8">
        <v>0</v>
      </c>
      <c r="Y11" s="95">
        <v>392.84010886657597</v>
      </c>
      <c r="Z11" s="97">
        <v>0</v>
      </c>
      <c r="AA11" s="8"/>
      <c r="AB11" s="98">
        <f t="shared" si="7"/>
        <v>83074.107839872653</v>
      </c>
      <c r="AC11" s="71">
        <f t="shared" si="2"/>
        <v>406003.09432149591</v>
      </c>
      <c r="AD11" s="8">
        <v>17874.997905660101</v>
      </c>
      <c r="AE11" s="95">
        <f t="shared" si="8"/>
        <v>388128.09641583578</v>
      </c>
      <c r="AF11" s="99" t="s">
        <v>88</v>
      </c>
      <c r="AG11" s="100">
        <v>4557.30795164148</v>
      </c>
      <c r="AH11" s="101">
        <v>1309.786546722039</v>
      </c>
      <c r="AI11" s="101">
        <v>2025.7958517566799</v>
      </c>
      <c r="AJ11" s="101">
        <v>6.5795383275354844</v>
      </c>
      <c r="AK11" s="101">
        <v>4465.4368513937352</v>
      </c>
      <c r="AL11" s="101">
        <v>3914.681194019699</v>
      </c>
      <c r="AM11" s="98">
        <v>3168.5037488923981</v>
      </c>
      <c r="AN11" s="101">
        <v>50789.025459363918</v>
      </c>
      <c r="AO11" s="100">
        <v>195.65519269962749</v>
      </c>
      <c r="AP11" s="101">
        <v>2.1974520736816592</v>
      </c>
      <c r="AQ11" s="98">
        <v>703.61785290692637</v>
      </c>
      <c r="AR11" s="100">
        <v>917.73070793255806</v>
      </c>
      <c r="AS11" s="101">
        <v>0</v>
      </c>
      <c r="AT11" s="101">
        <v>3142.6089548547852</v>
      </c>
      <c r="AU11" s="101">
        <v>22.919541516608039</v>
      </c>
      <c r="AV11" s="101">
        <v>2226.9205166087472</v>
      </c>
      <c r="AW11" s="101">
        <v>42.792527423627732</v>
      </c>
      <c r="AX11" s="101">
        <v>72.886332731092708</v>
      </c>
      <c r="AY11" s="98">
        <v>62.795723903529783</v>
      </c>
      <c r="AZ11" s="100">
        <v>5446.8658951039688</v>
      </c>
      <c r="BA11" s="98"/>
      <c r="BB11" s="102">
        <f t="shared" si="9"/>
        <v>83074.107839872653</v>
      </c>
      <c r="BC11" s="10"/>
      <c r="BD11" s="71">
        <f t="shared" si="3"/>
        <v>37107</v>
      </c>
      <c r="BE11" s="8" t="str">
        <f t="shared" si="3"/>
        <v>Tochten H</v>
      </c>
      <c r="BF11" s="7">
        <f t="shared" si="10"/>
        <v>8.6849940066086651E-2</v>
      </c>
      <c r="BG11" s="7">
        <f t="shared" si="4"/>
        <v>2.768570681684334E-2</v>
      </c>
      <c r="BH11" s="7">
        <f t="shared" si="4"/>
        <v>6.1011340603485405E-2</v>
      </c>
      <c r="BI11" s="7">
        <f t="shared" si="4"/>
        <v>8.4462556065197122E-5</v>
      </c>
      <c r="BJ11" s="7">
        <f t="shared" si="4"/>
        <v>2.1441425668361738E-2</v>
      </c>
      <c r="BK11" s="7">
        <f t="shared" si="4"/>
        <v>9.2351372326947276E-2</v>
      </c>
      <c r="BL11" s="7">
        <f t="shared" si="4"/>
        <v>1.0567342277026178E-2</v>
      </c>
      <c r="BM11" s="7">
        <f t="shared" si="4"/>
        <v>0.65145619386673947</v>
      </c>
      <c r="BN11" s="7">
        <f t="shared" si="4"/>
        <v>1.3887007536504676E-3</v>
      </c>
      <c r="BO11" s="7">
        <f t="shared" si="4"/>
        <v>1.1158322742345465E-4</v>
      </c>
      <c r="BP11" s="7">
        <f t="shared" si="4"/>
        <v>9.7460838580776948E-3</v>
      </c>
      <c r="BQ11" s="7">
        <f t="shared" si="4"/>
        <v>2.2604032352665955E-3</v>
      </c>
      <c r="BR11" s="7">
        <f t="shared" si="4"/>
        <v>0</v>
      </c>
      <c r="BS11" s="7">
        <f t="shared" si="4"/>
        <v>1.2644492390458164E-2</v>
      </c>
      <c r="BT11" s="7">
        <f t="shared" si="4"/>
        <v>2.4749431863959275E-4</v>
      </c>
      <c r="BU11" s="7">
        <f t="shared" si="4"/>
        <v>7.3304661114651842E-3</v>
      </c>
      <c r="BV11" s="7">
        <f t="shared" si="4"/>
        <v>1.0539951055087827E-4</v>
      </c>
      <c r="BW11" s="7">
        <f t="shared" si="5"/>
        <v>1.7952161880169622E-4</v>
      </c>
      <c r="BX11" s="7">
        <f t="shared" si="5"/>
        <v>1.1222471925529411E-3</v>
      </c>
      <c r="BY11" s="7">
        <f t="shared" si="5"/>
        <v>1.3415823601558161E-2</v>
      </c>
      <c r="BZ11" s="72">
        <f t="shared" si="11"/>
        <v>1</v>
      </c>
      <c r="CA11" s="261">
        <f t="shared" si="12"/>
        <v>0.86096183062204135</v>
      </c>
      <c r="CB11" s="74">
        <f t="shared" si="13"/>
        <v>0</v>
      </c>
    </row>
    <row r="12" spans="1:80" x14ac:dyDescent="0.3">
      <c r="A12" s="91">
        <v>37108</v>
      </c>
      <c r="B12" t="s">
        <v>156</v>
      </c>
      <c r="C12" s="88">
        <f t="shared" si="1"/>
        <v>0.75481021956086036</v>
      </c>
      <c r="D12" s="258">
        <f t="shared" si="6"/>
        <v>6.5017210007993302</v>
      </c>
      <c r="E12" s="262">
        <v>5</v>
      </c>
      <c r="F12" s="260">
        <v>8.6137161796536805</v>
      </c>
      <c r="G12" s="8">
        <v>81463.92149752134</v>
      </c>
      <c r="H12" s="8">
        <v>25397.64839796782</v>
      </c>
      <c r="I12" s="8">
        <v>27029.201736453721</v>
      </c>
      <c r="J12" s="8">
        <v>102.9439863981414</v>
      </c>
      <c r="K12" s="8">
        <v>55243.184853688472</v>
      </c>
      <c r="L12" s="8">
        <v>35525.803035205863</v>
      </c>
      <c r="M12" s="95">
        <v>20042.05020368324</v>
      </c>
      <c r="N12" s="96">
        <v>212435.07521807941</v>
      </c>
      <c r="O12" s="71">
        <v>702.27982502158955</v>
      </c>
      <c r="P12" s="8">
        <v>19.221424181738559</v>
      </c>
      <c r="Q12" s="95">
        <v>4244.2814728244457</v>
      </c>
      <c r="R12" s="71">
        <v>0</v>
      </c>
      <c r="S12" s="8">
        <v>0</v>
      </c>
      <c r="T12" s="8">
        <v>12136.785371736451</v>
      </c>
      <c r="U12" s="8">
        <v>200.36454534355559</v>
      </c>
      <c r="V12" s="8">
        <v>12354.86687369729</v>
      </c>
      <c r="W12" s="8">
        <v>119.3205897182918</v>
      </c>
      <c r="X12" s="8">
        <v>5.68950590065998</v>
      </c>
      <c r="Y12" s="95">
        <v>650.11010407254457</v>
      </c>
      <c r="Z12" s="97">
        <v>2656.1754774404362</v>
      </c>
      <c r="AA12" s="8"/>
      <c r="AB12" s="98">
        <f t="shared" si="7"/>
        <v>0</v>
      </c>
      <c r="AC12" s="71">
        <f t="shared" si="2"/>
        <v>490328.92411893496</v>
      </c>
      <c r="AD12" s="8">
        <v>48161.759837380407</v>
      </c>
      <c r="AE12" s="95">
        <f t="shared" si="8"/>
        <v>442167.16428155452</v>
      </c>
      <c r="AF12" s="99" t="s">
        <v>90</v>
      </c>
      <c r="AG12" s="100"/>
      <c r="AH12" s="101"/>
      <c r="AI12" s="101"/>
      <c r="AJ12" s="101"/>
      <c r="AK12" s="101"/>
      <c r="AL12" s="101"/>
      <c r="AM12" s="98"/>
      <c r="AN12" s="101"/>
      <c r="AO12" s="100"/>
      <c r="AP12" s="101"/>
      <c r="AQ12" s="98"/>
      <c r="AR12" s="100"/>
      <c r="AS12" s="101"/>
      <c r="AT12" s="101"/>
      <c r="AU12" s="101"/>
      <c r="AV12" s="101"/>
      <c r="AW12" s="101"/>
      <c r="AX12" s="101"/>
      <c r="AY12" s="98"/>
      <c r="AZ12" s="100"/>
      <c r="BA12" s="98"/>
      <c r="BB12" s="102"/>
      <c r="BC12" s="10"/>
      <c r="BD12" s="71">
        <f t="shared" si="3"/>
        <v>37108</v>
      </c>
      <c r="BE12" s="8" t="str">
        <f t="shared" si="3"/>
        <v>Tochten J</v>
      </c>
      <c r="BF12" s="7">
        <f t="shared" si="10"/>
        <v>0.16614137467803414</v>
      </c>
      <c r="BG12" s="7">
        <f t="shared" si="4"/>
        <v>5.1797165430541331E-2</v>
      </c>
      <c r="BH12" s="7">
        <f t="shared" si="4"/>
        <v>5.5124632480170542E-2</v>
      </c>
      <c r="BI12" s="7">
        <f t="shared" si="4"/>
        <v>2.0994883502563097E-4</v>
      </c>
      <c r="BJ12" s="7">
        <f t="shared" si="4"/>
        <v>0.11266556414748358</v>
      </c>
      <c r="BK12" s="7">
        <f t="shared" si="4"/>
        <v>7.2453003051047155E-2</v>
      </c>
      <c r="BL12" s="7">
        <f t="shared" si="4"/>
        <v>4.0874705157760198E-2</v>
      </c>
      <c r="BM12" s="7">
        <f t="shared" si="4"/>
        <v>0.4332501404027938</v>
      </c>
      <c r="BN12" s="7">
        <f t="shared" si="4"/>
        <v>1.4322626924028726E-3</v>
      </c>
      <c r="BO12" s="7">
        <f t="shared" si="4"/>
        <v>3.9201081633675317E-5</v>
      </c>
      <c r="BP12" s="7">
        <f t="shared" si="4"/>
        <v>8.6559883866751987E-3</v>
      </c>
      <c r="BQ12" s="7">
        <f t="shared" si="4"/>
        <v>0</v>
      </c>
      <c r="BR12" s="7">
        <f t="shared" si="4"/>
        <v>0</v>
      </c>
      <c r="BS12" s="7">
        <f t="shared" si="4"/>
        <v>2.4752334147011348E-2</v>
      </c>
      <c r="BT12" s="7">
        <f t="shared" si="4"/>
        <v>4.0863293085062805E-4</v>
      </c>
      <c r="BU12" s="7">
        <f t="shared" si="4"/>
        <v>2.5197099877184635E-2</v>
      </c>
      <c r="BV12" s="7">
        <f t="shared" si="4"/>
        <v>2.4334805443651373E-4</v>
      </c>
      <c r="BW12" s="7">
        <f t="shared" si="5"/>
        <v>1.1603447442720969E-5</v>
      </c>
      <c r="BX12" s="7">
        <f t="shared" si="5"/>
        <v>1.3258652959148151E-3</v>
      </c>
      <c r="BY12" s="7">
        <f t="shared" si="5"/>
        <v>5.4171299035913091E-3</v>
      </c>
      <c r="BZ12" s="72">
        <f t="shared" si="11"/>
        <v>1.0000000000000002</v>
      </c>
      <c r="CA12" s="261">
        <f t="shared" si="12"/>
        <v>0.75481021956086036</v>
      </c>
      <c r="CB12" s="74">
        <f t="shared" si="13"/>
        <v>0</v>
      </c>
    </row>
    <row r="13" spans="1:80" x14ac:dyDescent="0.3">
      <c r="A13" s="91">
        <v>37109</v>
      </c>
      <c r="B13" t="s">
        <v>91</v>
      </c>
      <c r="C13" s="88">
        <f>(SUMPRODUCT(G13:AA13,$G$20:$AA$20)+SUMPRODUCT(AG13:BA13,$AG$20:$BA$20))/AC13</f>
        <v>0.57145876901872483</v>
      </c>
      <c r="D13" s="258">
        <f t="shared" si="6"/>
        <v>2.727316457314755</v>
      </c>
      <c r="E13" s="262">
        <v>3.5</v>
      </c>
      <c r="F13" s="260">
        <v>4.772551591076188</v>
      </c>
      <c r="G13" s="8">
        <v>448432.99261271767</v>
      </c>
      <c r="H13" s="8">
        <v>65579.283365584895</v>
      </c>
      <c r="I13" s="8">
        <v>56864.650236626039</v>
      </c>
      <c r="J13" s="8">
        <v>592.64517731931267</v>
      </c>
      <c r="K13" s="8">
        <v>246484.19225938639</v>
      </c>
      <c r="L13" s="8">
        <v>128997.54534928039</v>
      </c>
      <c r="M13" s="95">
        <v>27910.999278250489</v>
      </c>
      <c r="N13" s="96">
        <v>239801.62301883899</v>
      </c>
      <c r="O13" s="71">
        <v>2448.2352785854769</v>
      </c>
      <c r="P13" s="8">
        <v>5878.5896815980514</v>
      </c>
      <c r="Q13" s="95">
        <v>14601.40236613649</v>
      </c>
      <c r="R13" s="71">
        <v>0</v>
      </c>
      <c r="S13" s="8">
        <v>0</v>
      </c>
      <c r="T13" s="8">
        <v>17977.385957144688</v>
      </c>
      <c r="U13" s="8">
        <v>1017.713326148667</v>
      </c>
      <c r="V13" s="8">
        <v>4510.8220336344384</v>
      </c>
      <c r="W13" s="8">
        <v>174.57582615899591</v>
      </c>
      <c r="X13" s="8">
        <v>2.0159285064351629</v>
      </c>
      <c r="Y13" s="95">
        <v>1356.3491304497511</v>
      </c>
      <c r="Z13" s="97">
        <v>129550.9887138592</v>
      </c>
      <c r="AA13" s="8"/>
      <c r="AB13" s="98">
        <f t="shared" si="7"/>
        <v>52300.260953016332</v>
      </c>
      <c r="AC13" s="71">
        <f t="shared" si="2"/>
        <v>1444482.2704932427</v>
      </c>
      <c r="AD13" s="8">
        <v>137363.56403492499</v>
      </c>
      <c r="AE13" s="95">
        <f t="shared" si="8"/>
        <v>1307118.7064583176</v>
      </c>
      <c r="AF13" s="99" t="s">
        <v>92</v>
      </c>
      <c r="AG13" s="100">
        <v>15357.81370550831</v>
      </c>
      <c r="AH13" s="101">
        <v>2300.5193028604172</v>
      </c>
      <c r="AI13" s="101">
        <v>3209.8051064038218</v>
      </c>
      <c r="AJ13" s="101">
        <v>106.1789610025905</v>
      </c>
      <c r="AK13" s="101">
        <v>5901.2087374586417</v>
      </c>
      <c r="AL13" s="101">
        <v>4902.3340626510844</v>
      </c>
      <c r="AM13" s="98">
        <v>1383.574545068841</v>
      </c>
      <c r="AN13" s="101">
        <v>7589.094149350467</v>
      </c>
      <c r="AO13" s="100">
        <v>239.5255833998915</v>
      </c>
      <c r="AP13" s="101">
        <v>217.7651096034555</v>
      </c>
      <c r="AQ13" s="98">
        <v>578.46783050452825</v>
      </c>
      <c r="AR13" s="100">
        <v>462.76114466565951</v>
      </c>
      <c r="AS13" s="101">
        <v>49.705356930023903</v>
      </c>
      <c r="AT13" s="101">
        <v>1245.743173230398</v>
      </c>
      <c r="AU13" s="101">
        <v>27.224088828721278</v>
      </c>
      <c r="AV13" s="101">
        <v>108.8916860888335</v>
      </c>
      <c r="AW13" s="101">
        <v>17.512534463332361</v>
      </c>
      <c r="AX13" s="101">
        <v>31.225330581287398</v>
      </c>
      <c r="AY13" s="98">
        <v>43.400624931353917</v>
      </c>
      <c r="AZ13" s="100">
        <v>8527.5099194846789</v>
      </c>
      <c r="BA13" s="98"/>
      <c r="BB13" s="102">
        <f t="shared" si="9"/>
        <v>52300.260953016332</v>
      </c>
      <c r="BC13" s="10"/>
      <c r="BD13" s="71">
        <f t="shared" si="3"/>
        <v>37109</v>
      </c>
      <c r="BE13" s="8" t="str">
        <f t="shared" si="3"/>
        <v>Tochten lage afdeling NOP</v>
      </c>
      <c r="BF13" s="7">
        <f t="shared" si="10"/>
        <v>0.32107753469335198</v>
      </c>
      <c r="BG13" s="7">
        <f t="shared" si="4"/>
        <v>4.6992478935215048E-2</v>
      </c>
      <c r="BH13" s="7">
        <f t="shared" si="4"/>
        <v>4.1588918445164741E-2</v>
      </c>
      <c r="BI13" s="7">
        <f t="shared" si="4"/>
        <v>4.8378865742898871E-4</v>
      </c>
      <c r="BJ13" s="7">
        <f t="shared" si="4"/>
        <v>0.17472377899845307</v>
      </c>
      <c r="BK13" s="7">
        <f t="shared" si="4"/>
        <v>9.2697489022284169E-2</v>
      </c>
      <c r="BL13" s="7">
        <f t="shared" si="4"/>
        <v>2.0280327714452463E-2</v>
      </c>
      <c r="BM13" s="7">
        <f t="shared" si="4"/>
        <v>0.1712660115127019</v>
      </c>
      <c r="BN13" s="7">
        <f t="shared" si="4"/>
        <v>1.8607087929626074E-3</v>
      </c>
      <c r="BO13" s="7">
        <f t="shared" si="4"/>
        <v>4.220442795133653E-3</v>
      </c>
      <c r="BP13" s="7">
        <f t="shared" si="4"/>
        <v>1.0508865706920445E-2</v>
      </c>
      <c r="BQ13" s="7">
        <f t="shared" si="4"/>
        <v>3.2036471067771704E-4</v>
      </c>
      <c r="BR13" s="7">
        <f t="shared" si="4"/>
        <v>3.4410499834692452E-5</v>
      </c>
      <c r="BS13" s="7">
        <f t="shared" si="4"/>
        <v>1.3307971667808029E-2</v>
      </c>
      <c r="BT13" s="7">
        <f t="shared" si="4"/>
        <v>7.2339926652099159E-4</v>
      </c>
      <c r="BU13" s="7">
        <f t="shared" si="4"/>
        <v>3.1981795928487191E-3</v>
      </c>
      <c r="BV13" s="7">
        <f t="shared" si="4"/>
        <v>1.3298076725907926E-4</v>
      </c>
      <c r="BW13" s="7">
        <f t="shared" si="5"/>
        <v>2.3012576731988395E-5</v>
      </c>
      <c r="BX13" s="7">
        <f t="shared" si="5"/>
        <v>9.6903214665496518E-4</v>
      </c>
      <c r="BY13" s="7">
        <f t="shared" si="5"/>
        <v>9.5590303497594786E-2</v>
      </c>
      <c r="BZ13" s="72">
        <f t="shared" si="11"/>
        <v>1.0000000000000002</v>
      </c>
      <c r="CA13" s="261">
        <f>SUMPRODUCT(BF13:BY13,$BF$20:$BY$20)</f>
        <v>0.57145876901872494</v>
      </c>
      <c r="CB13" s="74">
        <f t="shared" si="13"/>
        <v>0</v>
      </c>
    </row>
    <row r="14" spans="1:80" x14ac:dyDescent="0.3">
      <c r="A14" s="91">
        <v>37110</v>
      </c>
      <c r="B14" t="s">
        <v>93</v>
      </c>
      <c r="C14" s="88">
        <f t="shared" si="1"/>
        <v>0.88844818411184712</v>
      </c>
      <c r="D14" s="258"/>
      <c r="E14" s="262"/>
      <c r="F14" s="260"/>
      <c r="G14" s="8">
        <v>1025.676369885502</v>
      </c>
      <c r="H14" s="8">
        <v>236.79393950442019</v>
      </c>
      <c r="I14" s="8">
        <v>281.57540441764712</v>
      </c>
      <c r="J14" s="8">
        <v>3.9716951116464481</v>
      </c>
      <c r="K14" s="8">
        <v>373.62438149219901</v>
      </c>
      <c r="L14" s="8">
        <v>617.4297591490315</v>
      </c>
      <c r="M14" s="95">
        <v>36405.126292778892</v>
      </c>
      <c r="N14" s="96">
        <v>763.14861451692161</v>
      </c>
      <c r="O14" s="71">
        <v>11.570782741827889</v>
      </c>
      <c r="P14" s="8">
        <v>163.33583152762401</v>
      </c>
      <c r="Q14" s="95">
        <v>65.055303170836055</v>
      </c>
      <c r="R14" s="71">
        <v>0</v>
      </c>
      <c r="S14" s="8">
        <v>0</v>
      </c>
      <c r="T14" s="8">
        <v>48261.29263633339</v>
      </c>
      <c r="U14" s="8">
        <v>0</v>
      </c>
      <c r="V14" s="8">
        <v>21696.607998508822</v>
      </c>
      <c r="W14" s="8">
        <v>5487.6731149847546</v>
      </c>
      <c r="X14" s="8">
        <v>0</v>
      </c>
      <c r="Y14" s="95">
        <v>98.618194088982506</v>
      </c>
      <c r="Z14" s="97">
        <v>0</v>
      </c>
      <c r="AA14" s="8"/>
      <c r="AB14" s="98">
        <f t="shared" si="7"/>
        <v>0</v>
      </c>
      <c r="AC14" s="71">
        <f t="shared" si="2"/>
        <v>115491.50031821249</v>
      </c>
      <c r="AD14" s="8">
        <v>103942.3502863912</v>
      </c>
      <c r="AE14" s="95">
        <f t="shared" si="8"/>
        <v>11549.150031821293</v>
      </c>
      <c r="AF14" s="99" t="s">
        <v>93</v>
      </c>
      <c r="AG14" s="100"/>
      <c r="AH14" s="101"/>
      <c r="AI14" s="101"/>
      <c r="AJ14" s="101"/>
      <c r="AK14" s="101"/>
      <c r="AL14" s="101"/>
      <c r="AM14" s="98"/>
      <c r="AN14" s="101"/>
      <c r="AO14" s="100"/>
      <c r="AP14" s="101"/>
      <c r="AQ14" s="98"/>
      <c r="AR14" s="100"/>
      <c r="AS14" s="101"/>
      <c r="AT14" s="101"/>
      <c r="AU14" s="101"/>
      <c r="AV14" s="101"/>
      <c r="AW14" s="101"/>
      <c r="AX14" s="101"/>
      <c r="AY14" s="98"/>
      <c r="AZ14" s="100"/>
      <c r="BA14" s="98"/>
      <c r="BB14" s="102"/>
      <c r="BC14" s="10"/>
      <c r="BD14" s="71">
        <f t="shared" si="3"/>
        <v>37110</v>
      </c>
      <c r="BE14" s="8" t="str">
        <f t="shared" si="3"/>
        <v>Oostvaardersplassen</v>
      </c>
      <c r="BF14" s="7">
        <f t="shared" si="10"/>
        <v>8.8809684440800136E-3</v>
      </c>
      <c r="BG14" s="7">
        <f t="shared" si="4"/>
        <v>2.0503148617169609E-3</v>
      </c>
      <c r="BH14" s="7">
        <f t="shared" si="4"/>
        <v>2.4380617070678397E-3</v>
      </c>
      <c r="BI14" s="7">
        <f t="shared" si="4"/>
        <v>3.4389501397966771E-5</v>
      </c>
      <c r="BJ14" s="7">
        <f t="shared" si="4"/>
        <v>3.2350812004585251E-3</v>
      </c>
      <c r="BK14" s="7">
        <f t="shared" si="4"/>
        <v>5.3461056220400109E-3</v>
      </c>
      <c r="BL14" s="7">
        <f t="shared" si="4"/>
        <v>0.31521909571243112</v>
      </c>
      <c r="BM14" s="7">
        <f t="shared" si="4"/>
        <v>6.6078335844129343E-3</v>
      </c>
      <c r="BN14" s="7">
        <f t="shared" si="4"/>
        <v>1.0018730997473438E-4</v>
      </c>
      <c r="BO14" s="7">
        <f t="shared" si="4"/>
        <v>1.4142671198970188E-3</v>
      </c>
      <c r="BP14" s="7">
        <f t="shared" si="4"/>
        <v>5.6329083085413108E-4</v>
      </c>
      <c r="BQ14" s="7">
        <f t="shared" si="4"/>
        <v>0</v>
      </c>
      <c r="BR14" s="7">
        <f t="shared" si="4"/>
        <v>0</v>
      </c>
      <c r="BS14" s="7">
        <f t="shared" si="4"/>
        <v>0.41787744122606052</v>
      </c>
      <c r="BT14" s="7">
        <f t="shared" si="4"/>
        <v>0</v>
      </c>
      <c r="BU14" s="7">
        <f t="shared" si="4"/>
        <v>0.18786324481653099</v>
      </c>
      <c r="BV14" s="7">
        <f t="shared" si="4"/>
        <v>4.7515818046043455E-2</v>
      </c>
      <c r="BW14" s="7">
        <f t="shared" si="5"/>
        <v>0</v>
      </c>
      <c r="BX14" s="7">
        <f t="shared" si="5"/>
        <v>8.5390001703381511E-4</v>
      </c>
      <c r="BY14" s="7">
        <f t="shared" si="5"/>
        <v>0</v>
      </c>
      <c r="BZ14" s="72">
        <f t="shared" si="11"/>
        <v>0.99999999999999989</v>
      </c>
      <c r="CA14" s="261">
        <f>SUMPRODUCT(BF14:BY14,$BF$19:$BY$19)</f>
        <v>0.88844818411184723</v>
      </c>
      <c r="CB14" s="74">
        <f t="shared" si="13"/>
        <v>0</v>
      </c>
    </row>
    <row r="15" spans="1:80" x14ac:dyDescent="0.3">
      <c r="A15" s="91">
        <v>37111</v>
      </c>
      <c r="B15" t="s">
        <v>94</v>
      </c>
      <c r="C15" s="88">
        <f>(SUMPRODUCT(G15:AA15,$G$20:$AA$20)+SUMPRODUCT(AG15:BA15,$AG$20:$BA$20))/AC15</f>
        <v>0.58284589793920671</v>
      </c>
      <c r="D15" s="258">
        <f t="shared" si="6"/>
        <v>2.6248531886108002</v>
      </c>
      <c r="E15" s="262">
        <v>3</v>
      </c>
      <c r="F15" s="260">
        <v>4.5035114734299517</v>
      </c>
      <c r="G15" s="8">
        <v>90120.035129490745</v>
      </c>
      <c r="H15" s="8">
        <v>13721.360466082129</v>
      </c>
      <c r="I15" s="8">
        <v>19338.676673213889</v>
      </c>
      <c r="J15" s="8">
        <v>169.47256206076241</v>
      </c>
      <c r="K15" s="8">
        <v>36061.5154497943</v>
      </c>
      <c r="L15" s="8">
        <v>24195.628325597168</v>
      </c>
      <c r="M15" s="95">
        <v>6080.6989103983424</v>
      </c>
      <c r="N15" s="96">
        <v>63700.85182993504</v>
      </c>
      <c r="O15" s="71">
        <v>765.81765744261816</v>
      </c>
      <c r="P15" s="8">
        <v>1825.569265649691</v>
      </c>
      <c r="Q15" s="95">
        <v>3576.649854601983</v>
      </c>
      <c r="R15" s="71">
        <v>0</v>
      </c>
      <c r="S15" s="8">
        <v>0</v>
      </c>
      <c r="T15" s="8">
        <v>6166.044026673314</v>
      </c>
      <c r="U15" s="8">
        <v>77.097003369081918</v>
      </c>
      <c r="V15" s="8">
        <v>387.66968015023622</v>
      </c>
      <c r="W15" s="8">
        <v>5.7754103738840747</v>
      </c>
      <c r="X15" s="8">
        <v>27.918214506979592</v>
      </c>
      <c r="Y15" s="95">
        <v>267.95392904594092</v>
      </c>
      <c r="Z15" s="97">
        <v>81784.882701471128</v>
      </c>
      <c r="AA15" s="8"/>
      <c r="AB15" s="98">
        <f t="shared" si="7"/>
        <v>10651.014312348954</v>
      </c>
      <c r="AC15" s="71">
        <f t="shared" si="2"/>
        <v>358924.6314022062</v>
      </c>
      <c r="AD15" s="8">
        <v>30334.090077657791</v>
      </c>
      <c r="AE15" s="95">
        <f t="shared" si="8"/>
        <v>328590.54132454842</v>
      </c>
      <c r="AF15" s="99" t="s">
        <v>95</v>
      </c>
      <c r="AG15" s="100">
        <v>3799.8883218397141</v>
      </c>
      <c r="AH15" s="101">
        <v>555.81554703944164</v>
      </c>
      <c r="AI15" s="101">
        <v>485.12424118883251</v>
      </c>
      <c r="AJ15" s="101">
        <v>5.6510523203232967</v>
      </c>
      <c r="AK15" s="101">
        <v>2024.1474702178391</v>
      </c>
      <c r="AL15" s="101">
        <v>1088.6496282967751</v>
      </c>
      <c r="AM15" s="98">
        <v>247.88199967014421</v>
      </c>
      <c r="AN15" s="101">
        <v>1518.2529161930281</v>
      </c>
      <c r="AO15" s="100">
        <v>16.134750266651359</v>
      </c>
      <c r="AP15" s="101">
        <v>37.239769587566023</v>
      </c>
      <c r="AQ15" s="98">
        <v>93.076160205634807</v>
      </c>
      <c r="AR15" s="100">
        <v>2.055708597771559</v>
      </c>
      <c r="AS15" s="101">
        <v>0.19775205822449821</v>
      </c>
      <c r="AT15" s="101">
        <v>115.9680985011472</v>
      </c>
      <c r="AU15" s="101">
        <v>6.5163080480989493</v>
      </c>
      <c r="AV15" s="101">
        <v>28.80546858876896</v>
      </c>
      <c r="AW15" s="101">
        <v>1.1847411860703529</v>
      </c>
      <c r="AX15" s="101">
        <v>0.12575238991055671</v>
      </c>
      <c r="AY15" s="98">
        <v>8.6336119308510177</v>
      </c>
      <c r="AZ15" s="100">
        <v>615.66501422215833</v>
      </c>
      <c r="BA15" s="98"/>
      <c r="BB15" s="102">
        <f t="shared" si="9"/>
        <v>10651.014312348954</v>
      </c>
      <c r="BC15" s="10"/>
      <c r="BD15" s="71">
        <f t="shared" si="3"/>
        <v>37111</v>
      </c>
      <c r="BE15" s="8" t="str">
        <f t="shared" si="3"/>
        <v>Tochten hoge afdeling NOP</v>
      </c>
      <c r="BF15" s="7">
        <f t="shared" si="10"/>
        <v>0.26167032082589237</v>
      </c>
      <c r="BG15" s="7">
        <f t="shared" si="4"/>
        <v>3.9777643449392462E-2</v>
      </c>
      <c r="BH15" s="7">
        <f t="shared" si="4"/>
        <v>5.5231096391900825E-2</v>
      </c>
      <c r="BI15" s="7">
        <f t="shared" si="4"/>
        <v>4.8791194323145935E-4</v>
      </c>
      <c r="BJ15" s="7">
        <f t="shared" si="4"/>
        <v>0.10611047442250864</v>
      </c>
      <c r="BK15" s="7">
        <f t="shared" si="4"/>
        <v>7.0444532756406775E-2</v>
      </c>
      <c r="BL15" s="7">
        <f t="shared" si="4"/>
        <v>1.7632060762574866E-2</v>
      </c>
      <c r="BM15" s="7">
        <f t="shared" si="4"/>
        <v>0.18170696307839737</v>
      </c>
      <c r="BN15" s="7">
        <f t="shared" si="4"/>
        <v>2.1785977871020615E-3</v>
      </c>
      <c r="BO15" s="7">
        <f t="shared" si="4"/>
        <v>5.1899726913693421E-3</v>
      </c>
      <c r="BP15" s="7">
        <f t="shared" si="4"/>
        <v>1.0224224513294468E-2</v>
      </c>
      <c r="BQ15" s="7">
        <f t="shared" si="4"/>
        <v>5.727410207932927E-6</v>
      </c>
      <c r="BR15" s="7">
        <f t="shared" si="4"/>
        <v>5.5095705594777043E-7</v>
      </c>
      <c r="BS15" s="7">
        <f t="shared" si="4"/>
        <v>1.7502315460024592E-2</v>
      </c>
      <c r="BT15" s="7">
        <f t="shared" si="4"/>
        <v>2.3295506661253598E-4</v>
      </c>
      <c r="BU15" s="7">
        <f t="shared" si="4"/>
        <v>1.1603415098929465E-3</v>
      </c>
      <c r="BV15" s="7">
        <f t="shared" si="4"/>
        <v>1.9391679898822475E-5</v>
      </c>
      <c r="BW15" s="7">
        <f t="shared" si="5"/>
        <v>7.8133302769807535E-5</v>
      </c>
      <c r="BX15" s="7">
        <f t="shared" si="5"/>
        <v>7.7060061299290326E-4</v>
      </c>
      <c r="BY15" s="7">
        <f t="shared" si="5"/>
        <v>0.22957618537847385</v>
      </c>
      <c r="BZ15" s="72">
        <f t="shared" si="11"/>
        <v>1</v>
      </c>
      <c r="CA15" s="261">
        <f>SUMPRODUCT(BF15:BY15,$BF$20:$BY$20)</f>
        <v>0.58284589793920683</v>
      </c>
      <c r="CB15" s="74">
        <f t="shared" si="13"/>
        <v>0</v>
      </c>
    </row>
    <row r="16" spans="1:80" x14ac:dyDescent="0.3">
      <c r="A16" s="91">
        <v>37112</v>
      </c>
      <c r="B16" t="s">
        <v>96</v>
      </c>
      <c r="C16" s="88">
        <f>(SUMPRODUCT(G16:AA16,$G$20:$AA$20)+SUMPRODUCT(AG16:BA16,$AG$20:$BA$20))/AC16</f>
        <v>0.5919179704390628</v>
      </c>
      <c r="D16" s="258">
        <f t="shared" si="6"/>
        <v>2.404325890011819</v>
      </c>
      <c r="E16" s="262">
        <v>3.8</v>
      </c>
      <c r="F16" s="260">
        <v>4.0619241349073745</v>
      </c>
      <c r="G16" s="8">
        <v>10412.515742175719</v>
      </c>
      <c r="H16" s="8">
        <v>3045.4956423298149</v>
      </c>
      <c r="I16" s="8">
        <v>3214.7326873903098</v>
      </c>
      <c r="J16" s="8">
        <v>15.111604657703641</v>
      </c>
      <c r="K16" s="8">
        <v>6554.4412451825137</v>
      </c>
      <c r="L16" s="8">
        <v>7519.4816907014647</v>
      </c>
      <c r="M16" s="95">
        <v>5972.0411352660522</v>
      </c>
      <c r="N16" s="96">
        <v>163021.92939191739</v>
      </c>
      <c r="O16" s="71">
        <v>52.549526654180212</v>
      </c>
      <c r="P16" s="8">
        <v>46.036381426241327</v>
      </c>
      <c r="Q16" s="95">
        <v>810.90221822386286</v>
      </c>
      <c r="R16" s="71">
        <v>57454.287149999996</v>
      </c>
      <c r="S16" s="8">
        <v>0</v>
      </c>
      <c r="T16" s="8">
        <v>3243.06184998762</v>
      </c>
      <c r="U16" s="8">
        <v>320.67167105360102</v>
      </c>
      <c r="V16" s="8">
        <v>1295.1305380401509</v>
      </c>
      <c r="W16" s="8">
        <v>0</v>
      </c>
      <c r="X16" s="8">
        <v>1008.278198835768</v>
      </c>
      <c r="Y16" s="95">
        <v>97.738344777111891</v>
      </c>
      <c r="Z16" s="97">
        <v>14537.65398630695</v>
      </c>
      <c r="AA16" s="8"/>
      <c r="AB16" s="98">
        <f t="shared" si="7"/>
        <v>1500123.1722108107</v>
      </c>
      <c r="AC16" s="71">
        <f t="shared" si="2"/>
        <v>1778745.2312157373</v>
      </c>
      <c r="AD16" s="8">
        <v>35741.359053932698</v>
      </c>
      <c r="AE16" s="95">
        <f t="shared" si="8"/>
        <v>1743003.8721618047</v>
      </c>
      <c r="AF16" s="99" t="s">
        <v>97</v>
      </c>
      <c r="AG16" s="100">
        <v>477371.16095367982</v>
      </c>
      <c r="AH16" s="101">
        <v>70230.102612864663</v>
      </c>
      <c r="AI16" s="101">
        <v>66103.286285255264</v>
      </c>
      <c r="AJ16" s="101">
        <v>737.43138515367116</v>
      </c>
      <c r="AK16" s="101">
        <v>251306.7981272281</v>
      </c>
      <c r="AL16" s="101">
        <v>136600.83488217311</v>
      </c>
      <c r="AM16" s="98">
        <v>30519.826498519811</v>
      </c>
      <c r="AN16" s="101">
        <v>251387.9139994306</v>
      </c>
      <c r="AO16" s="100">
        <v>2775.0537508111079</v>
      </c>
      <c r="AP16" s="101">
        <v>6358.3003199745654</v>
      </c>
      <c r="AQ16" s="98">
        <v>15220.22077064059</v>
      </c>
      <c r="AR16" s="100">
        <v>381.82913206424638</v>
      </c>
      <c r="AS16" s="101">
        <v>40.528823836072164</v>
      </c>
      <c r="AT16" s="101">
        <v>20250.689038927219</v>
      </c>
      <c r="AU16" s="101">
        <v>945.41287236439848</v>
      </c>
      <c r="AV16" s="101">
        <v>4207.4995078833426</v>
      </c>
      <c r="AW16" s="101">
        <v>168.3293931866333</v>
      </c>
      <c r="AX16" s="101">
        <v>44.192351418747052</v>
      </c>
      <c r="AY16" s="98">
        <v>1366.42316005053</v>
      </c>
      <c r="AZ16" s="100">
        <v>164107.33834534831</v>
      </c>
      <c r="BA16" s="98"/>
      <c r="BB16" s="102">
        <f t="shared" si="9"/>
        <v>1500123.1722108107</v>
      </c>
      <c r="BC16" s="10"/>
      <c r="BD16" s="71">
        <f t="shared" si="3"/>
        <v>37112</v>
      </c>
      <c r="BE16" s="8" t="str">
        <f t="shared" si="3"/>
        <v>Vaarten NOP</v>
      </c>
      <c r="BF16" s="7">
        <f t="shared" si="10"/>
        <v>0.27422908471409646</v>
      </c>
      <c r="BG16" s="7">
        <f t="shared" si="4"/>
        <v>4.119510594842863E-2</v>
      </c>
      <c r="BH16" s="7">
        <f t="shared" si="4"/>
        <v>3.8970178391015603E-2</v>
      </c>
      <c r="BI16" s="7">
        <f t="shared" si="4"/>
        <v>4.2307519739464124E-4</v>
      </c>
      <c r="BJ16" s="7">
        <f t="shared" si="4"/>
        <v>0.14496805660930293</v>
      </c>
      <c r="BK16" s="7">
        <f t="shared" si="4"/>
        <v>8.1023585639845228E-2</v>
      </c>
      <c r="BL16" s="7">
        <f t="shared" si="4"/>
        <v>2.0515511155492678E-2</v>
      </c>
      <c r="BM16" s="7">
        <f t="shared" si="4"/>
        <v>0.23297875160463935</v>
      </c>
      <c r="BN16" s="7">
        <f t="shared" si="4"/>
        <v>1.5896617614725393E-3</v>
      </c>
      <c r="BO16" s="7">
        <f t="shared" si="4"/>
        <v>3.6004800400918397E-3</v>
      </c>
      <c r="BP16" s="7">
        <f t="shared" si="4"/>
        <v>9.0126020902428477E-3</v>
      </c>
      <c r="BQ16" s="7">
        <f t="shared" si="4"/>
        <v>3.2515120921805307E-2</v>
      </c>
      <c r="BR16" s="7">
        <f t="shared" si="4"/>
        <v>2.2785063945538459E-5</v>
      </c>
      <c r="BS16" s="7">
        <f t="shared" si="4"/>
        <v>1.32080471540364E-2</v>
      </c>
      <c r="BT16" s="7">
        <f t="shared" si="4"/>
        <v>7.1178520745922443E-4</v>
      </c>
      <c r="BU16" s="7">
        <f t="shared" si="4"/>
        <v>3.0935459161639208E-3</v>
      </c>
      <c r="BV16" s="7">
        <f t="shared" si="4"/>
        <v>9.4633784666049936E-5</v>
      </c>
      <c r="BW16" s="7">
        <f t="shared" si="5"/>
        <v>5.9169268975927042E-4</v>
      </c>
      <c r="BX16" s="7">
        <f t="shared" si="5"/>
        <v>8.2314289822546223E-4</v>
      </c>
      <c r="BY16" s="7">
        <f t="shared" si="5"/>
        <v>0.10043315321191609</v>
      </c>
      <c r="BZ16" s="72">
        <f t="shared" si="11"/>
        <v>1</v>
      </c>
      <c r="CA16" s="261">
        <f>SUMPRODUCT(BF16:BY16,$BF$20:$BY$20)</f>
        <v>0.59191797043906291</v>
      </c>
      <c r="CB16" s="74">
        <f t="shared" si="13"/>
        <v>0</v>
      </c>
    </row>
    <row r="17" spans="1:80" x14ac:dyDescent="0.3">
      <c r="A17" s="91">
        <v>37113</v>
      </c>
      <c r="B17" t="s">
        <v>98</v>
      </c>
      <c r="C17" s="88">
        <f t="shared" si="1"/>
        <v>0.84105780789271167</v>
      </c>
      <c r="D17" s="258">
        <f t="shared" si="6"/>
        <v>2.613204346644042</v>
      </c>
      <c r="E17" s="262">
        <v>2.5</v>
      </c>
      <c r="F17" s="260">
        <v>3.1070448691172388</v>
      </c>
      <c r="G17" s="8">
        <v>18688.954752123758</v>
      </c>
      <c r="H17" s="8">
        <v>5727.1136222590767</v>
      </c>
      <c r="I17" s="8">
        <v>17254.7425931299</v>
      </c>
      <c r="J17" s="8">
        <v>21.63392361418359</v>
      </c>
      <c r="K17" s="8">
        <v>14884.043870805341</v>
      </c>
      <c r="L17" s="8">
        <v>24106.10481936406</v>
      </c>
      <c r="M17" s="95">
        <v>8691.8689563991065</v>
      </c>
      <c r="N17" s="96">
        <v>214059.09994430779</v>
      </c>
      <c r="O17" s="71">
        <v>417.28301539000751</v>
      </c>
      <c r="P17" s="8">
        <v>2.9545277155147032</v>
      </c>
      <c r="Q17" s="95">
        <v>2217.3566925647442</v>
      </c>
      <c r="R17" s="71">
        <v>10155.707114999999</v>
      </c>
      <c r="S17" s="8">
        <v>0</v>
      </c>
      <c r="T17" s="8">
        <v>4375.1006884215494</v>
      </c>
      <c r="U17" s="8">
        <v>136.35226218749281</v>
      </c>
      <c r="V17" s="8">
        <v>1547.2250456026511</v>
      </c>
      <c r="W17" s="8">
        <v>0</v>
      </c>
      <c r="X17" s="8">
        <v>671.61741237478464</v>
      </c>
      <c r="Y17" s="95">
        <v>190.65153326618619</v>
      </c>
      <c r="Z17" s="97">
        <v>35757.367005414861</v>
      </c>
      <c r="AA17" s="8"/>
      <c r="AB17" s="98">
        <f t="shared" si="7"/>
        <v>692384.00370612636</v>
      </c>
      <c r="AC17" s="71">
        <f t="shared" si="2"/>
        <v>1051289.1814860674</v>
      </c>
      <c r="AD17" s="8">
        <v>56451.247236216703</v>
      </c>
      <c r="AE17" s="95">
        <f t="shared" si="8"/>
        <v>994837.93424985069</v>
      </c>
      <c r="AF17" s="99" t="s">
        <v>99</v>
      </c>
      <c r="AG17" s="100">
        <v>69705.165884911039</v>
      </c>
      <c r="AH17" s="101">
        <v>19199.455786965442</v>
      </c>
      <c r="AI17" s="101">
        <v>24742.861776853759</v>
      </c>
      <c r="AJ17" s="101">
        <v>113.9104467966737</v>
      </c>
      <c r="AK17" s="101">
        <v>64721.568857854589</v>
      </c>
      <c r="AL17" s="101">
        <v>56282.749368003162</v>
      </c>
      <c r="AM17" s="98">
        <v>69884.677459316605</v>
      </c>
      <c r="AN17" s="101">
        <v>314363.96963652578</v>
      </c>
      <c r="AO17" s="100">
        <v>1737.41793830657</v>
      </c>
      <c r="AP17" s="101">
        <v>28.628088971174879</v>
      </c>
      <c r="AQ17" s="98">
        <v>5380.5202936045716</v>
      </c>
      <c r="AR17" s="100">
        <v>0</v>
      </c>
      <c r="AS17" s="101">
        <v>0</v>
      </c>
      <c r="AT17" s="101">
        <v>33273.824490226987</v>
      </c>
      <c r="AU17" s="101">
        <v>96.360409478763984</v>
      </c>
      <c r="AV17" s="101">
        <v>30957.322969618541</v>
      </c>
      <c r="AW17" s="101">
        <v>724.48188940412888</v>
      </c>
      <c r="AX17" s="101">
        <v>59.794999071636283</v>
      </c>
      <c r="AY17" s="98">
        <v>502.87994379559109</v>
      </c>
      <c r="AZ17" s="100">
        <v>608.41346642147028</v>
      </c>
      <c r="BA17" s="98"/>
      <c r="BB17" s="102">
        <f t="shared" si="9"/>
        <v>692384.00370612636</v>
      </c>
      <c r="BC17" s="10"/>
      <c r="BD17" s="71">
        <f t="shared" si="3"/>
        <v>37113</v>
      </c>
      <c r="BE17" s="8" t="str">
        <f t="shared" si="3"/>
        <v>Vaarten hoge afdeling ZOF</v>
      </c>
      <c r="BF17" s="7">
        <f t="shared" si="10"/>
        <v>8.408164203885729E-2</v>
      </c>
      <c r="BG17" s="7">
        <f t="shared" si="4"/>
        <v>2.3710478380448232E-2</v>
      </c>
      <c r="BH17" s="7">
        <f t="shared" si="4"/>
        <v>3.9948669794753568E-2</v>
      </c>
      <c r="BI17" s="7">
        <f t="shared" si="4"/>
        <v>1.2893157543888758E-4</v>
      </c>
      <c r="BJ17" s="7">
        <f t="shared" si="4"/>
        <v>7.572189853236394E-2</v>
      </c>
      <c r="BK17" s="7">
        <f t="shared" si="4"/>
        <v>7.6466928037566426E-2</v>
      </c>
      <c r="BL17" s="7">
        <f t="shared" si="4"/>
        <v>7.4743037215167119E-2</v>
      </c>
      <c r="BM17" s="7">
        <f t="shared" si="4"/>
        <v>0.50264292535938804</v>
      </c>
      <c r="BN17" s="7">
        <f t="shared" si="4"/>
        <v>2.0495796890545037E-3</v>
      </c>
      <c r="BO17" s="7">
        <f t="shared" si="4"/>
        <v>3.0041797483396004E-5</v>
      </c>
      <c r="BP17" s="7">
        <f t="shared" si="4"/>
        <v>7.2271998228205965E-3</v>
      </c>
      <c r="BQ17" s="7">
        <f t="shared" si="4"/>
        <v>9.6602412484110504E-3</v>
      </c>
      <c r="BR17" s="7">
        <f t="shared" si="4"/>
        <v>0</v>
      </c>
      <c r="BS17" s="7">
        <f t="shared" si="4"/>
        <v>3.5812149351170219E-2</v>
      </c>
      <c r="BT17" s="7">
        <f t="shared" si="4"/>
        <v>2.2135933267885619E-4</v>
      </c>
      <c r="BU17" s="7">
        <f t="shared" si="4"/>
        <v>3.0918750604161879E-2</v>
      </c>
      <c r="BV17" s="7">
        <f t="shared" si="4"/>
        <v>6.8913663544033189E-4</v>
      </c>
      <c r="BW17" s="7">
        <f t="shared" si="5"/>
        <v>6.9572903852441507E-4</v>
      </c>
      <c r="BX17" s="7">
        <f t="shared" si="5"/>
        <v>6.5969619898630018E-4</v>
      </c>
      <c r="BY17" s="7">
        <f t="shared" si="5"/>
        <v>3.4591605347285011E-2</v>
      </c>
      <c r="BZ17" s="72">
        <f t="shared" si="11"/>
        <v>1.0000000000000002</v>
      </c>
      <c r="CA17" s="261">
        <f>SUMPRODUCT(BF17:BY17,$BF$19:$BY$19)</f>
        <v>0.84105780789271156</v>
      </c>
      <c r="CB17" s="74">
        <f t="shared" si="13"/>
        <v>0</v>
      </c>
    </row>
    <row r="18" spans="1:80" x14ac:dyDescent="0.3">
      <c r="A18" s="105">
        <v>37114</v>
      </c>
      <c r="B18" s="243" t="s">
        <v>100</v>
      </c>
      <c r="C18" s="107">
        <f t="shared" si="1"/>
        <v>0.78562462225218832</v>
      </c>
      <c r="D18" s="263">
        <f t="shared" si="6"/>
        <v>3.5294881252844177</v>
      </c>
      <c r="E18" s="264">
        <v>3.8</v>
      </c>
      <c r="F18" s="265">
        <v>4.4925884771358904</v>
      </c>
      <c r="G18" s="110">
        <v>16412.138991223939</v>
      </c>
      <c r="H18" s="110">
        <v>5243.3066463327914</v>
      </c>
      <c r="I18" s="110">
        <v>10564.4496279416</v>
      </c>
      <c r="J18" s="110">
        <v>23.427855662123608</v>
      </c>
      <c r="K18" s="110">
        <v>6429.8720998109993</v>
      </c>
      <c r="L18" s="110">
        <v>17396.14753297541</v>
      </c>
      <c r="M18" s="111">
        <v>29683.11585880434</v>
      </c>
      <c r="N18" s="112">
        <v>537964.35104627884</v>
      </c>
      <c r="O18" s="113">
        <v>166.09283152760091</v>
      </c>
      <c r="P18" s="110">
        <v>2669.5896360569359</v>
      </c>
      <c r="Q18" s="111">
        <v>1531.984941469452</v>
      </c>
      <c r="R18" s="113">
        <v>122962.6849948333</v>
      </c>
      <c r="S18" s="110">
        <v>2876</v>
      </c>
      <c r="T18" s="110">
        <v>11119.66337868341</v>
      </c>
      <c r="U18" s="110">
        <v>552.77018302007218</v>
      </c>
      <c r="V18" s="110">
        <v>16047.524419992629</v>
      </c>
      <c r="W18" s="110">
        <v>267.22310316107939</v>
      </c>
      <c r="X18" s="110">
        <v>951.00914780955759</v>
      </c>
      <c r="Y18" s="111">
        <v>295.6274000314865</v>
      </c>
      <c r="Z18" s="266">
        <v>14652.19531505556</v>
      </c>
      <c r="AA18" s="110"/>
      <c r="AB18" s="115">
        <f t="shared" si="7"/>
        <v>1405645.8295651863</v>
      </c>
      <c r="AC18" s="113">
        <f t="shared" si="2"/>
        <v>2203455.0045758574</v>
      </c>
      <c r="AD18" s="110">
        <v>87162.664142635404</v>
      </c>
      <c r="AE18" s="111">
        <f t="shared" si="8"/>
        <v>2116292.3404332222</v>
      </c>
      <c r="AF18" s="116" t="s">
        <v>101</v>
      </c>
      <c r="AG18" s="117">
        <v>197905.48372656581</v>
      </c>
      <c r="AH18" s="118">
        <v>65332.35715922268</v>
      </c>
      <c r="AI18" s="118">
        <v>95697.199805631739</v>
      </c>
      <c r="AJ18" s="118">
        <v>204.07161796831781</v>
      </c>
      <c r="AK18" s="118">
        <v>91265.395071365347</v>
      </c>
      <c r="AL18" s="118">
        <v>144293.61406289969</v>
      </c>
      <c r="AM18" s="115">
        <v>56177.859729026502</v>
      </c>
      <c r="AN18" s="118">
        <v>658748.98692231148</v>
      </c>
      <c r="AO18" s="117">
        <v>2341.1212961339902</v>
      </c>
      <c r="AP18" s="118">
        <v>92.522714347838587</v>
      </c>
      <c r="AQ18" s="115">
        <v>13354.908962889431</v>
      </c>
      <c r="AR18" s="117">
        <v>1430.7075874426639</v>
      </c>
      <c r="AS18" s="118">
        <v>0</v>
      </c>
      <c r="AT18" s="118">
        <v>31787.66454735323</v>
      </c>
      <c r="AU18" s="118">
        <v>284.83789532722159</v>
      </c>
      <c r="AV18" s="118">
        <v>33186.795112667132</v>
      </c>
      <c r="AW18" s="118">
        <v>1255.0850004935551</v>
      </c>
      <c r="AX18" s="118">
        <v>116.7196098613919</v>
      </c>
      <c r="AY18" s="115">
        <v>1688.375121565748</v>
      </c>
      <c r="AZ18" s="117">
        <v>10482.123622112549</v>
      </c>
      <c r="BA18" s="115"/>
      <c r="BB18" s="119">
        <f t="shared" si="9"/>
        <v>1405645.8295651863</v>
      </c>
      <c r="BC18" s="10"/>
      <c r="BD18" s="113">
        <f t="shared" si="3"/>
        <v>37114</v>
      </c>
      <c r="BE18" s="110" t="str">
        <f t="shared" si="3"/>
        <v>Vaarten Lage afdeling ZOF</v>
      </c>
      <c r="BF18" s="120">
        <f t="shared" si="10"/>
        <v>9.7264351789676642E-2</v>
      </c>
      <c r="BG18" s="120">
        <f t="shared" si="4"/>
        <v>3.202954617135037E-2</v>
      </c>
      <c r="BH18" s="120">
        <f t="shared" si="4"/>
        <v>4.8225014449082261E-2</v>
      </c>
      <c r="BI18" s="120">
        <f t="shared" si="4"/>
        <v>1.032467071748682E-4</v>
      </c>
      <c r="BJ18" s="120">
        <f t="shared" si="4"/>
        <v>4.4337309801332513E-2</v>
      </c>
      <c r="BK18" s="120">
        <f t="shared" si="4"/>
        <v>7.3380105906450652E-2</v>
      </c>
      <c r="BL18" s="120">
        <f t="shared" si="4"/>
        <v>3.8966520945299815E-2</v>
      </c>
      <c r="BM18" s="120">
        <f t="shared" si="4"/>
        <v>0.54310768111143948</v>
      </c>
      <c r="BN18" s="120">
        <f t="shared" si="4"/>
        <v>1.1378558320705098E-3</v>
      </c>
      <c r="BO18" s="120">
        <f t="shared" si="4"/>
        <v>1.253536988351824E-3</v>
      </c>
      <c r="BP18" s="120">
        <f t="shared" si="4"/>
        <v>6.7561597007625117E-3</v>
      </c>
      <c r="BQ18" s="120">
        <f t="shared" si="4"/>
        <v>5.6453792940609843E-2</v>
      </c>
      <c r="BR18" s="120">
        <f t="shared" si="4"/>
        <v>1.3052229312726993E-3</v>
      </c>
      <c r="BS18" s="120">
        <f t="shared" si="4"/>
        <v>1.9472749766585709E-2</v>
      </c>
      <c r="BT18" s="120">
        <f t="shared" si="4"/>
        <v>3.8013396080603185E-4</v>
      </c>
      <c r="BU18" s="120">
        <f t="shared" si="4"/>
        <v>2.2344145639650519E-2</v>
      </c>
      <c r="BV18" s="120">
        <f t="shared" si="4"/>
        <v>6.908732424729786E-4</v>
      </c>
      <c r="BW18" s="120">
        <f t="shared" si="5"/>
        <v>4.8457025691635416E-4</v>
      </c>
      <c r="BX18" s="120">
        <f t="shared" si="5"/>
        <v>9.0040528056035106E-4</v>
      </c>
      <c r="BY18" s="120">
        <f t="shared" si="5"/>
        <v>1.1406776578134032E-2</v>
      </c>
      <c r="BZ18" s="121">
        <f t="shared" si="11"/>
        <v>1</v>
      </c>
      <c r="CA18" s="261">
        <f>SUMPRODUCT(BF18:BY18,$BF$19:$BY$19)</f>
        <v>0.78562462225218821</v>
      </c>
      <c r="CB18" s="74">
        <f t="shared" si="13"/>
        <v>0</v>
      </c>
    </row>
    <row r="19" spans="1:80" x14ac:dyDescent="0.3">
      <c r="A19" s="5"/>
      <c r="B19" s="6" t="s">
        <v>102</v>
      </c>
      <c r="G19" s="134">
        <v>0</v>
      </c>
      <c r="H19" s="134">
        <v>0</v>
      </c>
      <c r="I19" s="134">
        <v>1</v>
      </c>
      <c r="J19" s="134">
        <v>1</v>
      </c>
      <c r="K19" s="134">
        <v>1</v>
      </c>
      <c r="L19" s="134">
        <v>1</v>
      </c>
      <c r="M19" s="134">
        <v>1</v>
      </c>
      <c r="N19" s="134">
        <v>1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1</v>
      </c>
      <c r="U19" s="134">
        <v>0</v>
      </c>
      <c r="V19" s="134">
        <v>0.48</v>
      </c>
      <c r="W19" s="134">
        <v>1</v>
      </c>
      <c r="X19" s="134">
        <v>0</v>
      </c>
      <c r="Y19" s="134">
        <v>0</v>
      </c>
      <c r="Z19" s="134">
        <v>0.57999999999999996</v>
      </c>
      <c r="AA19" s="134"/>
      <c r="AB19" s="134"/>
      <c r="AC19" s="134"/>
      <c r="AD19" s="134"/>
      <c r="AE19" s="134"/>
      <c r="AF19" s="134"/>
      <c r="AG19" s="134">
        <v>0</v>
      </c>
      <c r="AH19" s="134">
        <v>0</v>
      </c>
      <c r="AI19" s="134">
        <v>1</v>
      </c>
      <c r="AJ19" s="134">
        <v>1</v>
      </c>
      <c r="AK19" s="134">
        <v>1</v>
      </c>
      <c r="AL19" s="134">
        <v>1</v>
      </c>
      <c r="AM19" s="134">
        <v>1</v>
      </c>
      <c r="AN19" s="134">
        <v>1</v>
      </c>
      <c r="AO19" s="134">
        <v>0</v>
      </c>
      <c r="AP19" s="134">
        <v>0</v>
      </c>
      <c r="AQ19" s="134">
        <v>0</v>
      </c>
      <c r="AR19" s="134">
        <v>0</v>
      </c>
      <c r="AS19" s="134">
        <v>0</v>
      </c>
      <c r="AT19" s="134">
        <v>1</v>
      </c>
      <c r="AU19" s="134">
        <v>0</v>
      </c>
      <c r="AV19" s="134">
        <v>0.48</v>
      </c>
      <c r="AW19" s="134">
        <v>1</v>
      </c>
      <c r="AX19" s="134">
        <v>0</v>
      </c>
      <c r="AY19" s="134">
        <v>0</v>
      </c>
      <c r="AZ19" s="134">
        <v>0.57999999999999996</v>
      </c>
      <c r="BA19" s="134">
        <v>0</v>
      </c>
      <c r="BB19" s="5"/>
      <c r="BC19" s="8"/>
      <c r="BD19" s="5"/>
      <c r="BE19" s="5"/>
      <c r="BF19" s="134">
        <f>G19</f>
        <v>0</v>
      </c>
      <c r="BG19" s="134">
        <f t="shared" ref="BG19:BV20" si="14">H19</f>
        <v>0</v>
      </c>
      <c r="BH19" s="134">
        <f t="shared" si="14"/>
        <v>1</v>
      </c>
      <c r="BI19" s="134">
        <f t="shared" si="14"/>
        <v>1</v>
      </c>
      <c r="BJ19" s="134">
        <f t="shared" si="14"/>
        <v>1</v>
      </c>
      <c r="BK19" s="134">
        <f t="shared" si="14"/>
        <v>1</v>
      </c>
      <c r="BL19" s="134">
        <f t="shared" si="14"/>
        <v>1</v>
      </c>
      <c r="BM19" s="134">
        <f t="shared" si="14"/>
        <v>1</v>
      </c>
      <c r="BN19" s="134">
        <f t="shared" si="14"/>
        <v>0</v>
      </c>
      <c r="BO19" s="134">
        <f t="shared" si="14"/>
        <v>0</v>
      </c>
      <c r="BP19" s="134">
        <f t="shared" si="14"/>
        <v>0</v>
      </c>
      <c r="BQ19" s="134">
        <f t="shared" si="14"/>
        <v>0</v>
      </c>
      <c r="BR19" s="134">
        <f t="shared" si="14"/>
        <v>0</v>
      </c>
      <c r="BS19" s="134">
        <f t="shared" si="14"/>
        <v>1</v>
      </c>
      <c r="BT19" s="134">
        <f t="shared" si="14"/>
        <v>0</v>
      </c>
      <c r="BU19" s="134">
        <f t="shared" si="14"/>
        <v>0.48</v>
      </c>
      <c r="BV19" s="134">
        <f t="shared" si="14"/>
        <v>1</v>
      </c>
      <c r="BW19" s="134">
        <f t="shared" ref="BW19:BY20" si="15">X19</f>
        <v>0</v>
      </c>
      <c r="BX19" s="134">
        <f t="shared" si="15"/>
        <v>0</v>
      </c>
      <c r="BY19" s="134">
        <f t="shared" si="15"/>
        <v>0.57999999999999996</v>
      </c>
      <c r="BZ19" s="90"/>
      <c r="CA19" s="7"/>
      <c r="CB19" s="5"/>
    </row>
    <row r="20" spans="1:80" x14ac:dyDescent="0.3">
      <c r="A20" s="5"/>
      <c r="G20" s="134">
        <v>0</v>
      </c>
      <c r="H20" s="134">
        <v>0</v>
      </c>
      <c r="I20" s="134">
        <v>1</v>
      </c>
      <c r="J20" s="134">
        <v>1</v>
      </c>
      <c r="K20" s="134">
        <v>1</v>
      </c>
      <c r="L20" s="134">
        <v>1</v>
      </c>
      <c r="M20" s="134">
        <v>1</v>
      </c>
      <c r="N20" s="134">
        <v>1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1</v>
      </c>
      <c r="U20" s="134">
        <v>0</v>
      </c>
      <c r="V20" s="134">
        <v>0.48</v>
      </c>
      <c r="W20" s="134">
        <v>1</v>
      </c>
      <c r="X20" s="134">
        <v>0</v>
      </c>
      <c r="Y20" s="134">
        <v>0</v>
      </c>
      <c r="Z20" s="134">
        <v>0.57999999999999996</v>
      </c>
      <c r="AA20" s="134"/>
      <c r="AB20" s="134"/>
      <c r="AC20" s="134"/>
      <c r="AD20" s="134"/>
      <c r="AE20" s="134"/>
      <c r="AF20" s="134"/>
      <c r="AG20" s="134">
        <v>0</v>
      </c>
      <c r="AH20" s="134">
        <v>0</v>
      </c>
      <c r="AI20" s="134">
        <v>1</v>
      </c>
      <c r="AJ20" s="134">
        <v>1</v>
      </c>
      <c r="AK20" s="134">
        <v>1</v>
      </c>
      <c r="AL20" s="134">
        <v>1</v>
      </c>
      <c r="AM20" s="134">
        <v>1</v>
      </c>
      <c r="AN20" s="134">
        <v>1</v>
      </c>
      <c r="AO20" s="134">
        <v>0</v>
      </c>
      <c r="AP20" s="134">
        <v>0</v>
      </c>
      <c r="AQ20" s="134">
        <v>0</v>
      </c>
      <c r="AR20" s="134">
        <v>0</v>
      </c>
      <c r="AS20" s="134">
        <v>0</v>
      </c>
      <c r="AT20" s="134">
        <v>1</v>
      </c>
      <c r="AU20" s="134">
        <v>0</v>
      </c>
      <c r="AV20" s="134">
        <v>0.48</v>
      </c>
      <c r="AW20" s="134">
        <v>1</v>
      </c>
      <c r="AX20" s="134">
        <v>0</v>
      </c>
      <c r="AY20" s="134">
        <v>0</v>
      </c>
      <c r="AZ20" s="134">
        <v>0.57999999999999996</v>
      </c>
      <c r="BA20" s="134">
        <v>0</v>
      </c>
      <c r="BF20" s="134">
        <f>G20</f>
        <v>0</v>
      </c>
      <c r="BG20" s="134">
        <f t="shared" si="14"/>
        <v>0</v>
      </c>
      <c r="BH20" s="134">
        <f t="shared" si="14"/>
        <v>1</v>
      </c>
      <c r="BI20" s="134">
        <f t="shared" si="14"/>
        <v>1</v>
      </c>
      <c r="BJ20" s="134">
        <f t="shared" si="14"/>
        <v>1</v>
      </c>
      <c r="BK20" s="134">
        <f t="shared" si="14"/>
        <v>1</v>
      </c>
      <c r="BL20" s="134">
        <f t="shared" si="14"/>
        <v>1</v>
      </c>
      <c r="BM20" s="134">
        <f t="shared" si="14"/>
        <v>1</v>
      </c>
      <c r="BN20" s="134">
        <f t="shared" si="14"/>
        <v>0</v>
      </c>
      <c r="BO20" s="134">
        <f t="shared" si="14"/>
        <v>0</v>
      </c>
      <c r="BP20" s="134">
        <f t="shared" si="14"/>
        <v>0</v>
      </c>
      <c r="BQ20" s="134">
        <f t="shared" si="14"/>
        <v>0</v>
      </c>
      <c r="BR20" s="134">
        <f t="shared" si="14"/>
        <v>0</v>
      </c>
      <c r="BS20" s="134">
        <f t="shared" si="14"/>
        <v>1</v>
      </c>
      <c r="BT20" s="134">
        <f t="shared" si="14"/>
        <v>0</v>
      </c>
      <c r="BU20" s="134">
        <f t="shared" si="14"/>
        <v>0.48</v>
      </c>
      <c r="BV20" s="134">
        <f t="shared" si="14"/>
        <v>1</v>
      </c>
      <c r="BW20" s="134">
        <f t="shared" si="15"/>
        <v>0</v>
      </c>
      <c r="BX20" s="134">
        <f t="shared" si="15"/>
        <v>0</v>
      </c>
      <c r="BY20" s="134">
        <f t="shared" si="15"/>
        <v>0.57999999999999996</v>
      </c>
      <c r="BZ20" s="90"/>
      <c r="CA20" s="7"/>
      <c r="CB20" s="5"/>
    </row>
    <row r="21" spans="1:80" s="138" customFormat="1" ht="14.7" customHeight="1" x14ac:dyDescent="0.3">
      <c r="A21" s="57"/>
      <c r="B21" s="267"/>
      <c r="C21" s="361" t="s">
        <v>169</v>
      </c>
      <c r="D21" s="341"/>
      <c r="E21" s="341"/>
      <c r="F21" s="342"/>
      <c r="G21" s="343" t="s">
        <v>177</v>
      </c>
      <c r="H21" s="343"/>
      <c r="I21" s="343"/>
      <c r="J21" s="343"/>
      <c r="K21" s="343"/>
      <c r="L21" s="343"/>
      <c r="M21" s="344"/>
      <c r="N21" s="140" t="s">
        <v>105</v>
      </c>
      <c r="O21" s="345" t="s">
        <v>106</v>
      </c>
      <c r="P21" s="343"/>
      <c r="Q21" s="344"/>
      <c r="R21" s="345" t="s">
        <v>178</v>
      </c>
      <c r="S21" s="343"/>
      <c r="T21" s="343"/>
      <c r="U21" s="343"/>
      <c r="V21" s="343"/>
      <c r="W21" s="343"/>
      <c r="X21" s="343"/>
      <c r="Y21" s="344"/>
      <c r="Z21" s="345" t="s">
        <v>179</v>
      </c>
      <c r="AA21" s="343"/>
      <c r="AB21" s="343"/>
      <c r="AC21" s="345" t="s">
        <v>180</v>
      </c>
      <c r="AD21" s="343"/>
      <c r="AE21" s="344"/>
      <c r="AF21" s="141" t="s">
        <v>11</v>
      </c>
      <c r="AG21" s="327" t="s">
        <v>177</v>
      </c>
      <c r="AH21" s="328"/>
      <c r="AI21" s="328"/>
      <c r="AJ21" s="328"/>
      <c r="AK21" s="328"/>
      <c r="AL21" s="328"/>
      <c r="AM21" s="329"/>
      <c r="AN21" s="142"/>
      <c r="AO21" s="327" t="s">
        <v>106</v>
      </c>
      <c r="AP21" s="328"/>
      <c r="AQ21" s="329"/>
      <c r="AR21" s="327" t="s">
        <v>178</v>
      </c>
      <c r="AS21" s="328"/>
      <c r="AT21" s="328"/>
      <c r="AU21" s="328"/>
      <c r="AV21" s="328"/>
      <c r="AW21" s="328"/>
      <c r="AX21" s="328"/>
      <c r="AY21" s="329"/>
      <c r="AZ21" s="327" t="s">
        <v>181</v>
      </c>
      <c r="BA21" s="329"/>
      <c r="BB21" s="143" t="s">
        <v>175</v>
      </c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Y21" s="7"/>
      <c r="BZ21" s="90"/>
    </row>
    <row r="22" spans="1:80" s="16" customFormat="1" ht="43.2" customHeight="1" x14ac:dyDescent="0.3">
      <c r="A22" s="17" t="s">
        <v>19</v>
      </c>
      <c r="B22" s="190" t="s">
        <v>20</v>
      </c>
      <c r="C22" s="268" t="s">
        <v>113</v>
      </c>
      <c r="D22" s="147" t="s">
        <v>114</v>
      </c>
      <c r="E22" s="269" t="s">
        <v>115</v>
      </c>
      <c r="F22" s="148" t="s">
        <v>116</v>
      </c>
      <c r="G22" s="149" t="s">
        <v>25</v>
      </c>
      <c r="H22" s="149" t="s">
        <v>26</v>
      </c>
      <c r="I22" s="149" t="s">
        <v>27</v>
      </c>
      <c r="J22" s="149" t="s">
        <v>28</v>
      </c>
      <c r="K22" s="149" t="s">
        <v>29</v>
      </c>
      <c r="L22" s="149" t="s">
        <v>30</v>
      </c>
      <c r="M22" s="150" t="s">
        <v>31</v>
      </c>
      <c r="N22" s="151" t="s">
        <v>32</v>
      </c>
      <c r="O22" s="152" t="s">
        <v>33</v>
      </c>
      <c r="P22" s="149" t="s">
        <v>34</v>
      </c>
      <c r="Q22" s="150" t="s">
        <v>35</v>
      </c>
      <c r="R22" s="152" t="s">
        <v>36</v>
      </c>
      <c r="S22" s="149" t="s">
        <v>37</v>
      </c>
      <c r="T22" s="149" t="s">
        <v>38</v>
      </c>
      <c r="U22" s="149" t="s">
        <v>39</v>
      </c>
      <c r="V22" s="149" t="s">
        <v>40</v>
      </c>
      <c r="W22" s="149" t="s">
        <v>41</v>
      </c>
      <c r="X22" s="149" t="s">
        <v>42</v>
      </c>
      <c r="Y22" s="150" t="s">
        <v>43</v>
      </c>
      <c r="Z22" s="153" t="s">
        <v>44</v>
      </c>
      <c r="AA22" s="149" t="s">
        <v>45</v>
      </c>
      <c r="AB22" s="154" t="s">
        <v>46</v>
      </c>
      <c r="AC22" s="152" t="s">
        <v>47</v>
      </c>
      <c r="AD22" s="149" t="s">
        <v>48</v>
      </c>
      <c r="AE22" s="150" t="s">
        <v>49</v>
      </c>
      <c r="AF22" s="154" t="s">
        <v>20</v>
      </c>
      <c r="AG22" s="155" t="s">
        <v>25</v>
      </c>
      <c r="AH22" s="154" t="s">
        <v>26</v>
      </c>
      <c r="AI22" s="154" t="s">
        <v>27</v>
      </c>
      <c r="AJ22" s="154" t="s">
        <v>28</v>
      </c>
      <c r="AK22" s="154" t="s">
        <v>29</v>
      </c>
      <c r="AL22" s="154" t="s">
        <v>30</v>
      </c>
      <c r="AM22" s="156" t="s">
        <v>31</v>
      </c>
      <c r="AN22" s="154" t="s">
        <v>32</v>
      </c>
      <c r="AO22" s="155" t="s">
        <v>33</v>
      </c>
      <c r="AP22" s="154" t="s">
        <v>34</v>
      </c>
      <c r="AQ22" s="156" t="s">
        <v>35</v>
      </c>
      <c r="AR22" s="155" t="s">
        <v>36</v>
      </c>
      <c r="AS22" s="154" t="s">
        <v>37</v>
      </c>
      <c r="AT22" s="154" t="s">
        <v>38</v>
      </c>
      <c r="AU22" s="154" t="s">
        <v>39</v>
      </c>
      <c r="AV22" s="154" t="s">
        <v>40</v>
      </c>
      <c r="AW22" s="154" t="s">
        <v>41</v>
      </c>
      <c r="AX22" s="154" t="s">
        <v>42</v>
      </c>
      <c r="AY22" s="156" t="s">
        <v>43</v>
      </c>
      <c r="AZ22" s="155" t="s">
        <v>44</v>
      </c>
      <c r="BA22" s="156" t="s">
        <v>45</v>
      </c>
      <c r="BB22" s="156" t="s">
        <v>46</v>
      </c>
      <c r="BD22" s="32" t="s">
        <v>50</v>
      </c>
      <c r="BE22" s="33" t="s">
        <v>51</v>
      </c>
      <c r="BF22" s="34" t="str">
        <f>G22</f>
        <v>Bemesting
actueel</v>
      </c>
      <c r="BG22" s="34" t="str">
        <f t="shared" ref="BG22:BY22" si="16">H22</f>
        <v>Bemesting
historisch</v>
      </c>
      <c r="BH22" s="34" t="str">
        <f t="shared" si="16"/>
        <v>Depositie</v>
      </c>
      <c r="BI22" s="34" t="str">
        <f t="shared" si="16"/>
        <v>Infiltratie</v>
      </c>
      <c r="BJ22" s="34" t="str">
        <f t="shared" si="16"/>
        <v>Kwel</v>
      </c>
      <c r="BK22" s="34" t="str">
        <f t="shared" si="16"/>
        <v>Mineralisatie
en uitloging</v>
      </c>
      <c r="BL22" s="34" t="str">
        <f t="shared" si="16"/>
        <v>Natuur-
gronden</v>
      </c>
      <c r="BM22" s="34" t="str">
        <f t="shared" si="16"/>
        <v>Directe kwel</v>
      </c>
      <c r="BN22" s="34" t="str">
        <f t="shared" si="16"/>
        <v>Erfaf-
spoeling</v>
      </c>
      <c r="BO22" s="34" t="str">
        <f t="shared" si="16"/>
        <v>Glas-
tuinbouw</v>
      </c>
      <c r="BP22" s="34" t="str">
        <f t="shared" si="16"/>
        <v>Mee-
mesten</v>
      </c>
      <c r="BQ22" s="34" t="str">
        <f t="shared" si="16"/>
        <v>RWZI</v>
      </c>
      <c r="BR22" s="34" t="str">
        <f t="shared" si="16"/>
        <v>Industrie</v>
      </c>
      <c r="BS22" s="34" t="str">
        <f t="shared" si="16"/>
        <v>Depositie
open water</v>
      </c>
      <c r="BT22" s="34" t="str">
        <f t="shared" si="16"/>
        <v>Overstort</v>
      </c>
      <c r="BU22" s="34" t="str">
        <f t="shared" si="16"/>
        <v>Regen
waterriolen</v>
      </c>
      <c r="BV22" s="34" t="str">
        <f t="shared" si="16"/>
        <v>Water-
vogels</v>
      </c>
      <c r="BW22" s="34" t="str">
        <f t="shared" si="16"/>
        <v>Binnen-
vaart</v>
      </c>
      <c r="BX22" s="34" t="str">
        <f t="shared" si="16"/>
        <v>Overige</v>
      </c>
      <c r="BY22" s="34" t="str">
        <f t="shared" si="16"/>
        <v>Inlaat Rijkswater</v>
      </c>
      <c r="BZ22" s="35" t="s">
        <v>52</v>
      </c>
      <c r="CA22" s="359" t="s">
        <v>176</v>
      </c>
      <c r="CB22" s="360"/>
    </row>
    <row r="23" spans="1:80" x14ac:dyDescent="0.3">
      <c r="A23" s="57">
        <v>37101</v>
      </c>
      <c r="B23" s="189" t="s">
        <v>75</v>
      </c>
      <c r="C23" s="58">
        <f t="shared" ref="C23:C36" si="17">(SUMPRODUCT(G23:AA23,$G$37:$AA$37)+SUMPRODUCT(AG23:BA23,$AG$37:$BA$37))/AC23</f>
        <v>0.88845372700722192</v>
      </c>
      <c r="D23" s="171">
        <f>C23*F23</f>
        <v>0.12063896539486763</v>
      </c>
      <c r="E23" s="270">
        <v>0.15</v>
      </c>
      <c r="F23" s="60">
        <v>0.13578531073446326</v>
      </c>
      <c r="G23" s="61">
        <v>277.65302545169533</v>
      </c>
      <c r="H23" s="8">
        <v>38.835751306864751</v>
      </c>
      <c r="I23" s="8"/>
      <c r="J23" s="8">
        <v>0.79782134095730983</v>
      </c>
      <c r="K23" s="8">
        <v>419.83424517143868</v>
      </c>
      <c r="L23" s="8">
        <v>119.7312576623483</v>
      </c>
      <c r="M23" s="95">
        <v>1130.083294525888</v>
      </c>
      <c r="N23" s="96">
        <v>3000.016765760508</v>
      </c>
      <c r="O23" s="71">
        <v>131.3651532354331</v>
      </c>
      <c r="P23" s="8">
        <v>7.2484284443256497E-2</v>
      </c>
      <c r="Q23" s="95">
        <v>45.34565616169246</v>
      </c>
      <c r="R23" s="71">
        <v>0</v>
      </c>
      <c r="S23" s="8">
        <v>0</v>
      </c>
      <c r="T23" s="8"/>
      <c r="U23" s="8">
        <v>6.5791862606267522</v>
      </c>
      <c r="V23" s="8">
        <v>206.18701499176021</v>
      </c>
      <c r="W23" s="8">
        <v>15.26708915109438</v>
      </c>
      <c r="X23" s="8">
        <v>0</v>
      </c>
      <c r="Y23" s="95">
        <v>21.504379012050681</v>
      </c>
      <c r="Z23" s="97">
        <v>0</v>
      </c>
      <c r="AA23" s="8"/>
      <c r="AB23" s="66">
        <f>SUM(AG23:BA23)</f>
        <v>0</v>
      </c>
      <c r="AC23" s="64">
        <f t="shared" ref="AC23:AC36" si="18">SUM(G23:AB23)</f>
        <v>5413.2731243168009</v>
      </c>
      <c r="AD23" s="64">
        <v>1802.0514056849199</v>
      </c>
      <c r="AE23" s="62">
        <f>AC23-AD23</f>
        <v>3611.2217186318812</v>
      </c>
      <c r="AF23" s="172" t="s">
        <v>76</v>
      </c>
      <c r="AG23" s="68"/>
      <c r="AH23" s="69"/>
      <c r="AI23" s="69"/>
      <c r="AJ23" s="69"/>
      <c r="AK23" s="69"/>
      <c r="AL23" s="69"/>
      <c r="AM23" s="66"/>
      <c r="AN23" s="69"/>
      <c r="AO23" s="68"/>
      <c r="AP23" s="69"/>
      <c r="AQ23" s="66"/>
      <c r="AR23" s="68"/>
      <c r="AS23" s="69"/>
      <c r="AT23" s="69"/>
      <c r="AU23" s="69"/>
      <c r="AV23" s="69"/>
      <c r="AW23" s="69"/>
      <c r="AX23" s="69"/>
      <c r="AY23" s="66"/>
      <c r="AZ23" s="68"/>
      <c r="BA23" s="66"/>
      <c r="BB23" s="102">
        <f>SUM(AG23:BA23)</f>
        <v>0</v>
      </c>
      <c r="BC23" s="10"/>
      <c r="BD23" s="71">
        <f t="shared" ref="BD23:BE36" si="19">A23</f>
        <v>37101</v>
      </c>
      <c r="BE23" s="8" t="str">
        <f t="shared" si="19"/>
        <v>Tochten ABC1</v>
      </c>
      <c r="BF23" s="7">
        <f>(G23+AG23)/$AC23</f>
        <v>5.1291153997838859E-2</v>
      </c>
      <c r="BG23" s="7">
        <f t="shared" ref="BG23:BV36" si="20">(H23+AH23)/$AC23</f>
        <v>7.1741717838717288E-3</v>
      </c>
      <c r="BH23" s="7">
        <f t="shared" si="20"/>
        <v>0</v>
      </c>
      <c r="BI23" s="7">
        <f t="shared" si="20"/>
        <v>1.4738242882544401E-4</v>
      </c>
      <c r="BJ23" s="7">
        <f t="shared" si="20"/>
        <v>7.7556449772599484E-2</v>
      </c>
      <c r="BK23" s="7">
        <f t="shared" si="20"/>
        <v>2.2118089169472555E-2</v>
      </c>
      <c r="BL23" s="7">
        <f t="shared" si="20"/>
        <v>0.20876155120447829</v>
      </c>
      <c r="BM23" s="7">
        <f t="shared" si="20"/>
        <v>0.55419645321131561</v>
      </c>
      <c r="BN23" s="7">
        <f t="shared" si="20"/>
        <v>2.4267231713347635E-2</v>
      </c>
      <c r="BO23" s="7">
        <f t="shared" si="20"/>
        <v>1.3390102952251205E-5</v>
      </c>
      <c r="BP23" s="7">
        <f t="shared" si="20"/>
        <v>8.3767537902339727E-3</v>
      </c>
      <c r="BQ23" s="7">
        <f t="shared" si="20"/>
        <v>0</v>
      </c>
      <c r="BR23" s="7">
        <f t="shared" si="20"/>
        <v>0</v>
      </c>
      <c r="BS23" s="7">
        <f t="shared" si="20"/>
        <v>0</v>
      </c>
      <c r="BT23" s="7">
        <f t="shared" si="20"/>
        <v>1.2153804379595383E-3</v>
      </c>
      <c r="BU23" s="7">
        <f t="shared" si="20"/>
        <v>3.8089157937653974E-2</v>
      </c>
      <c r="BV23" s="7">
        <f t="shared" si="20"/>
        <v>2.8203064579382757E-3</v>
      </c>
      <c r="BW23" s="7">
        <f t="shared" ref="BW23:BY36" si="21">(X23+AX23)/$AC23</f>
        <v>0</v>
      </c>
      <c r="BX23" s="7">
        <f t="shared" si="21"/>
        <v>3.9725279915124746E-3</v>
      </c>
      <c r="BY23" s="7">
        <f t="shared" si="21"/>
        <v>0</v>
      </c>
      <c r="BZ23" s="72">
        <f t="shared" si="11"/>
        <v>1</v>
      </c>
      <c r="CA23" s="261">
        <f>SUMPRODUCT(BF23:BY23,$BF$37:$BY$37)</f>
        <v>0.88845372700722203</v>
      </c>
      <c r="CB23" s="74">
        <f t="shared" ref="CB23:CB36" si="22">C23-CA23</f>
        <v>0</v>
      </c>
    </row>
    <row r="24" spans="1:80" x14ac:dyDescent="0.3">
      <c r="A24" s="91">
        <v>37102</v>
      </c>
      <c r="B24" s="206" t="s">
        <v>77</v>
      </c>
      <c r="C24" s="88">
        <f t="shared" si="17"/>
        <v>0.77560313043499862</v>
      </c>
      <c r="D24" s="178">
        <f t="shared" ref="D24:D36" si="23">C24*F24</f>
        <v>6.9579043456321515E-2</v>
      </c>
      <c r="E24" s="271">
        <v>0.15</v>
      </c>
      <c r="F24" s="94">
        <v>8.9709595959595947E-2</v>
      </c>
      <c r="G24" s="8">
        <v>2630.4050761195472</v>
      </c>
      <c r="H24" s="8">
        <v>115.3205256809367</v>
      </c>
      <c r="I24" s="8"/>
      <c r="J24" s="8">
        <v>4.5404066300358137</v>
      </c>
      <c r="K24" s="8">
        <v>1987.788248860687</v>
      </c>
      <c r="L24" s="8">
        <v>1231.694017713414</v>
      </c>
      <c r="M24" s="95">
        <v>305.51855897106492</v>
      </c>
      <c r="N24" s="96">
        <v>5461.0477033072284</v>
      </c>
      <c r="O24" s="71">
        <v>270.78742113865582</v>
      </c>
      <c r="P24" s="8">
        <v>0.13846773492163009</v>
      </c>
      <c r="Q24" s="95">
        <v>98.464049341931982</v>
      </c>
      <c r="R24" s="71">
        <v>0</v>
      </c>
      <c r="S24" s="8">
        <v>0</v>
      </c>
      <c r="T24" s="8"/>
      <c r="U24" s="8">
        <v>14.8938641284181</v>
      </c>
      <c r="V24" s="8">
        <v>394.33289668934498</v>
      </c>
      <c r="W24" s="8">
        <v>31.212060043318228</v>
      </c>
      <c r="X24" s="8">
        <v>0</v>
      </c>
      <c r="Y24" s="95">
        <v>46.421094365674847</v>
      </c>
      <c r="Z24" s="97">
        <v>0</v>
      </c>
      <c r="AA24" s="8"/>
      <c r="AB24" s="98">
        <f t="shared" ref="AB24:AB36" si="24">SUM(AG24:BA24)</f>
        <v>3611.2217186318808</v>
      </c>
      <c r="AC24" s="71">
        <f t="shared" si="18"/>
        <v>16203.786109357059</v>
      </c>
      <c r="AD24" s="8">
        <v>5370.8486100838027</v>
      </c>
      <c r="AE24" s="95">
        <f t="shared" ref="AE24:AE36" si="25">AC24-AD24</f>
        <v>10832.937499273256</v>
      </c>
      <c r="AF24" s="172" t="s">
        <v>78</v>
      </c>
      <c r="AG24" s="100">
        <v>138.82651272584761</v>
      </c>
      <c r="AH24" s="101">
        <v>19.417875653432379</v>
      </c>
      <c r="AI24" s="101">
        <v>0</v>
      </c>
      <c r="AJ24" s="101">
        <v>0.39891067047865492</v>
      </c>
      <c r="AK24" s="101">
        <v>209.9171225857194</v>
      </c>
      <c r="AL24" s="101">
        <v>59.865628831174163</v>
      </c>
      <c r="AM24" s="98">
        <v>565.04164726294414</v>
      </c>
      <c r="AN24" s="101">
        <v>2400.0134126084058</v>
      </c>
      <c r="AO24" s="100">
        <v>65.682576617716563</v>
      </c>
      <c r="AP24" s="101">
        <v>3.6242142221628248E-2</v>
      </c>
      <c r="AQ24" s="98">
        <v>22.67282808084623</v>
      </c>
      <c r="AR24" s="100">
        <v>0</v>
      </c>
      <c r="AS24" s="101">
        <v>0</v>
      </c>
      <c r="AT24" s="101">
        <v>0</v>
      </c>
      <c r="AU24" s="101">
        <v>3.2895931303133761</v>
      </c>
      <c r="AV24" s="101">
        <v>103.0935074958801</v>
      </c>
      <c r="AW24" s="101">
        <v>12.213671320875511</v>
      </c>
      <c r="AX24" s="101">
        <v>0</v>
      </c>
      <c r="AY24" s="98">
        <v>10.75218950602534</v>
      </c>
      <c r="AZ24" s="100">
        <v>0</v>
      </c>
      <c r="BA24" s="98"/>
      <c r="BB24" s="102">
        <f t="shared" ref="BB24:BB36" si="26">SUM(AG24:BA24)</f>
        <v>3611.2217186318808</v>
      </c>
      <c r="BC24" s="10"/>
      <c r="BD24" s="71">
        <f t="shared" si="19"/>
        <v>37102</v>
      </c>
      <c r="BE24" s="8" t="str">
        <f t="shared" si="19"/>
        <v>Tochten ABC2</v>
      </c>
      <c r="BF24" s="7">
        <f t="shared" ref="BF24:BF36" si="27">(G24+AG24)/$AC24</f>
        <v>0.17090028035153285</v>
      </c>
      <c r="BG24" s="7">
        <f t="shared" si="20"/>
        <v>8.3152419085909118E-3</v>
      </c>
      <c r="BH24" s="7">
        <f t="shared" si="20"/>
        <v>0</v>
      </c>
      <c r="BI24" s="7">
        <f t="shared" si="20"/>
        <v>3.0482488889816952E-4</v>
      </c>
      <c r="BJ24" s="7">
        <f t="shared" si="20"/>
        <v>0.13562912745295475</v>
      </c>
      <c r="BK24" s="7">
        <f t="shared" si="20"/>
        <v>7.9707275684092291E-2</v>
      </c>
      <c r="BL24" s="7">
        <f t="shared" si="20"/>
        <v>5.3725728071126182E-2</v>
      </c>
      <c r="BM24" s="7">
        <f t="shared" si="20"/>
        <v>0.48513730450787523</v>
      </c>
      <c r="BN24" s="7">
        <f t="shared" si="20"/>
        <v>2.0764899973721201E-2</v>
      </c>
      <c r="BO24" s="7">
        <f t="shared" si="20"/>
        <v>1.0782040441916852E-5</v>
      </c>
      <c r="BP24" s="7">
        <f t="shared" si="20"/>
        <v>7.4758378446396767E-3</v>
      </c>
      <c r="BQ24" s="7">
        <f t="shared" si="20"/>
        <v>0</v>
      </c>
      <c r="BR24" s="7">
        <f t="shared" si="20"/>
        <v>0</v>
      </c>
      <c r="BS24" s="7">
        <f t="shared" si="20"/>
        <v>0</v>
      </c>
      <c r="BT24" s="7">
        <f t="shared" si="20"/>
        <v>1.1221733696071953E-3</v>
      </c>
      <c r="BU24" s="7">
        <f t="shared" si="20"/>
        <v>3.069815911097349E-2</v>
      </c>
      <c r="BV24" s="7">
        <f t="shared" si="20"/>
        <v>2.6799743634678725E-3</v>
      </c>
      <c r="BW24" s="7">
        <f t="shared" si="21"/>
        <v>0</v>
      </c>
      <c r="BX24" s="7">
        <f t="shared" si="21"/>
        <v>3.528390432078391E-3</v>
      </c>
      <c r="BY24" s="7">
        <f t="shared" si="21"/>
        <v>0</v>
      </c>
      <c r="BZ24" s="72">
        <f t="shared" si="11"/>
        <v>1.0000000000000002</v>
      </c>
      <c r="CA24" s="261">
        <f t="shared" ref="CA24:CA32" si="28">SUMPRODUCT(BF24:BY24,$BF$37:$BY$37)</f>
        <v>0.77560313043499851</v>
      </c>
      <c r="CB24" s="74">
        <f t="shared" si="22"/>
        <v>0</v>
      </c>
    </row>
    <row r="25" spans="1:80" x14ac:dyDescent="0.3">
      <c r="A25" s="91">
        <v>37103</v>
      </c>
      <c r="B25" s="206" t="s">
        <v>79</v>
      </c>
      <c r="C25" s="88">
        <f t="shared" si="17"/>
        <v>0.70854080616631965</v>
      </c>
      <c r="D25" s="178">
        <f t="shared" si="23"/>
        <v>6.56876372383359E-2</v>
      </c>
      <c r="E25" s="271">
        <v>0.3</v>
      </c>
      <c r="F25" s="94">
        <v>9.2708333333333351E-2</v>
      </c>
      <c r="G25" s="8">
        <v>457.92391798276219</v>
      </c>
      <c r="H25" s="8">
        <v>32.469592696068311</v>
      </c>
      <c r="I25" s="8"/>
      <c r="J25" s="8">
        <v>0.53625343880567677</v>
      </c>
      <c r="K25" s="8">
        <v>839.73812644216616</v>
      </c>
      <c r="L25" s="8">
        <v>148.8073527468913</v>
      </c>
      <c r="M25" s="95">
        <v>2349.4755374237898</v>
      </c>
      <c r="N25" s="96">
        <v>464.59687898516461</v>
      </c>
      <c r="O25" s="71">
        <v>72.825618742122757</v>
      </c>
      <c r="P25" s="8">
        <v>5.1364917885190913</v>
      </c>
      <c r="Q25" s="95">
        <v>27.257958229683041</v>
      </c>
      <c r="R25" s="71">
        <v>0</v>
      </c>
      <c r="S25" s="8">
        <v>0</v>
      </c>
      <c r="T25" s="8"/>
      <c r="U25" s="8">
        <v>0</v>
      </c>
      <c r="V25" s="8">
        <v>7464.3293287656197</v>
      </c>
      <c r="W25" s="8">
        <v>635.1843341682378</v>
      </c>
      <c r="X25" s="8">
        <v>9.3230424886966663</v>
      </c>
      <c r="Y25" s="95">
        <v>33.95571000486094</v>
      </c>
      <c r="Z25" s="97">
        <v>118.85530170416671</v>
      </c>
      <c r="AA25" s="8"/>
      <c r="AB25" s="98">
        <f t="shared" si="24"/>
        <v>0</v>
      </c>
      <c r="AC25" s="71">
        <f t="shared" si="18"/>
        <v>12660.415445607556</v>
      </c>
      <c r="AD25" s="8">
        <v>5961.8198555998988</v>
      </c>
      <c r="AE25" s="95">
        <f t="shared" si="25"/>
        <v>6698.5955900076569</v>
      </c>
      <c r="AF25" s="172" t="s">
        <v>80</v>
      </c>
      <c r="AG25" s="100"/>
      <c r="AH25" s="101"/>
      <c r="AI25" s="101"/>
      <c r="AJ25" s="101"/>
      <c r="AK25" s="101"/>
      <c r="AL25" s="101"/>
      <c r="AM25" s="98"/>
      <c r="AN25" s="101"/>
      <c r="AO25" s="100"/>
      <c r="AP25" s="101"/>
      <c r="AQ25" s="98"/>
      <c r="AR25" s="100"/>
      <c r="AS25" s="101"/>
      <c r="AT25" s="101"/>
      <c r="AU25" s="101"/>
      <c r="AV25" s="101"/>
      <c r="AW25" s="101"/>
      <c r="AX25" s="101"/>
      <c r="AY25" s="98"/>
      <c r="AZ25" s="100"/>
      <c r="BA25" s="98"/>
      <c r="BB25" s="102">
        <f t="shared" si="26"/>
        <v>0</v>
      </c>
      <c r="BC25" s="10"/>
      <c r="BD25" s="71">
        <f t="shared" si="19"/>
        <v>37103</v>
      </c>
      <c r="BE25" s="8" t="str">
        <f t="shared" si="19"/>
        <v>Tochten DE Almere</v>
      </c>
      <c r="BF25" s="7">
        <f t="shared" si="27"/>
        <v>3.6169738659060806E-2</v>
      </c>
      <c r="BG25" s="7">
        <f t="shared" si="20"/>
        <v>2.5646545988610046E-3</v>
      </c>
      <c r="BH25" s="7">
        <f t="shared" si="20"/>
        <v>0</v>
      </c>
      <c r="BI25" s="7">
        <f t="shared" si="20"/>
        <v>4.235670157188453E-5</v>
      </c>
      <c r="BJ25" s="7">
        <f t="shared" si="20"/>
        <v>6.6327849196568631E-2</v>
      </c>
      <c r="BK25" s="7">
        <f t="shared" si="20"/>
        <v>1.1753749581615743E-2</v>
      </c>
      <c r="BL25" s="7">
        <f t="shared" si="20"/>
        <v>0.18557649608875387</v>
      </c>
      <c r="BM25" s="7">
        <f t="shared" si="20"/>
        <v>3.6696811489417065E-2</v>
      </c>
      <c r="BN25" s="7">
        <f t="shared" si="20"/>
        <v>5.7522297791095869E-3</v>
      </c>
      <c r="BO25" s="7">
        <f t="shared" si="20"/>
        <v>4.057127359356254E-4</v>
      </c>
      <c r="BP25" s="7">
        <f t="shared" si="20"/>
        <v>2.1530066171043384E-3</v>
      </c>
      <c r="BQ25" s="7">
        <f t="shared" si="20"/>
        <v>0</v>
      </c>
      <c r="BR25" s="7">
        <f t="shared" si="20"/>
        <v>0</v>
      </c>
      <c r="BS25" s="7">
        <f t="shared" si="20"/>
        <v>0</v>
      </c>
      <c r="BT25" s="7">
        <f t="shared" si="20"/>
        <v>0</v>
      </c>
      <c r="BU25" s="7">
        <f t="shared" si="20"/>
        <v>0.58958012561549211</v>
      </c>
      <c r="BV25" s="7">
        <f t="shared" si="20"/>
        <v>5.0170891855575772E-2</v>
      </c>
      <c r="BW25" s="7">
        <f t="shared" si="21"/>
        <v>7.3639309300321831E-4</v>
      </c>
      <c r="BX25" s="7">
        <f t="shared" si="21"/>
        <v>2.6820375801049753E-3</v>
      </c>
      <c r="BY25" s="7">
        <f t="shared" si="21"/>
        <v>9.3879464078252452E-3</v>
      </c>
      <c r="BZ25" s="72">
        <f t="shared" si="11"/>
        <v>0.99999999999999989</v>
      </c>
      <c r="CA25" s="261">
        <f t="shared" si="28"/>
        <v>0.70854080616631954</v>
      </c>
      <c r="CB25" s="74">
        <f t="shared" si="22"/>
        <v>0</v>
      </c>
    </row>
    <row r="26" spans="1:80" x14ac:dyDescent="0.3">
      <c r="A26" s="91">
        <v>37104</v>
      </c>
      <c r="B26" s="206" t="s">
        <v>81</v>
      </c>
      <c r="C26" s="88">
        <f t="shared" si="17"/>
        <v>0.63818211969565464</v>
      </c>
      <c r="D26" s="178">
        <f t="shared" si="23"/>
        <v>0.17921394830731169</v>
      </c>
      <c r="E26" s="271">
        <v>0.22</v>
      </c>
      <c r="F26" s="94">
        <v>0.28081944444444445</v>
      </c>
      <c r="G26" s="8">
        <v>1487.748540133558</v>
      </c>
      <c r="H26" s="8">
        <v>67.417276221595486</v>
      </c>
      <c r="I26" s="8"/>
      <c r="J26" s="8">
        <v>2.7946764063493581</v>
      </c>
      <c r="K26" s="8">
        <v>513.70290872778298</v>
      </c>
      <c r="L26" s="8">
        <v>928.56076775928091</v>
      </c>
      <c r="M26" s="95">
        <v>578.91226954238141</v>
      </c>
      <c r="N26" s="96">
        <v>1665.286890703135</v>
      </c>
      <c r="O26" s="71">
        <v>310.46711147957598</v>
      </c>
      <c r="P26" s="8">
        <v>1.7105462692939559</v>
      </c>
      <c r="Q26" s="95">
        <v>64.184075947689308</v>
      </c>
      <c r="R26" s="71">
        <v>0</v>
      </c>
      <c r="S26" s="8">
        <v>0</v>
      </c>
      <c r="T26" s="8"/>
      <c r="U26" s="8">
        <v>0</v>
      </c>
      <c r="V26" s="8">
        <v>2431.1936454324482</v>
      </c>
      <c r="W26" s="8">
        <v>30.237972401179029</v>
      </c>
      <c r="X26" s="8">
        <v>9.6669659445458134</v>
      </c>
      <c r="Y26" s="95">
        <v>22.119414209139059</v>
      </c>
      <c r="Z26" s="97">
        <v>0</v>
      </c>
      <c r="AA26" s="8"/>
      <c r="AB26" s="98">
        <f t="shared" si="24"/>
        <v>0</v>
      </c>
      <c r="AC26" s="71">
        <f t="shared" si="18"/>
        <v>8114.0030611779539</v>
      </c>
      <c r="AD26" s="8">
        <v>3545.443981874319</v>
      </c>
      <c r="AE26" s="95">
        <f t="shared" si="25"/>
        <v>4568.5590793036354</v>
      </c>
      <c r="AF26" s="172" t="s">
        <v>82</v>
      </c>
      <c r="AG26" s="100"/>
      <c r="AH26" s="101"/>
      <c r="AI26" s="101"/>
      <c r="AJ26" s="101"/>
      <c r="AK26" s="101"/>
      <c r="AL26" s="101"/>
      <c r="AM26" s="98"/>
      <c r="AN26" s="101"/>
      <c r="AO26" s="100"/>
      <c r="AP26" s="101"/>
      <c r="AQ26" s="98"/>
      <c r="AR26" s="100"/>
      <c r="AS26" s="101"/>
      <c r="AT26" s="101"/>
      <c r="AU26" s="101"/>
      <c r="AV26" s="101"/>
      <c r="AW26" s="101"/>
      <c r="AX26" s="101"/>
      <c r="AY26" s="98"/>
      <c r="AZ26" s="100"/>
      <c r="BA26" s="98"/>
      <c r="BB26" s="102">
        <f t="shared" si="26"/>
        <v>0</v>
      </c>
      <c r="BC26" s="10"/>
      <c r="BD26" s="71">
        <f t="shared" si="19"/>
        <v>37104</v>
      </c>
      <c r="BE26" s="8" t="str">
        <f t="shared" si="19"/>
        <v>Tochten DE Zuidlob</v>
      </c>
      <c r="BF26" s="7">
        <f t="shared" si="27"/>
        <v>0.18335567893137736</v>
      </c>
      <c r="BG26" s="7">
        <f t="shared" si="20"/>
        <v>8.3087565672927115E-3</v>
      </c>
      <c r="BH26" s="7">
        <f t="shared" si="20"/>
        <v>0</v>
      </c>
      <c r="BI26" s="7">
        <f t="shared" si="20"/>
        <v>3.4442634360352828E-4</v>
      </c>
      <c r="BJ26" s="7">
        <f t="shared" si="20"/>
        <v>6.3310662425755351E-2</v>
      </c>
      <c r="BK26" s="7">
        <f t="shared" si="20"/>
        <v>0.11443929226525047</v>
      </c>
      <c r="BL26" s="7">
        <f t="shared" si="20"/>
        <v>7.1347307263443099E-2</v>
      </c>
      <c r="BM26" s="7">
        <f t="shared" si="20"/>
        <v>0.2052361674191156</v>
      </c>
      <c r="BN26" s="7">
        <f t="shared" si="20"/>
        <v>3.8263124765755732E-2</v>
      </c>
      <c r="BO26" s="7">
        <f t="shared" si="20"/>
        <v>2.1081410204023594E-4</v>
      </c>
      <c r="BP26" s="7">
        <f t="shared" si="20"/>
        <v>7.9102849066920809E-3</v>
      </c>
      <c r="BQ26" s="7">
        <f t="shared" si="20"/>
        <v>0</v>
      </c>
      <c r="BR26" s="7">
        <f t="shared" si="20"/>
        <v>0</v>
      </c>
      <c r="BS26" s="7">
        <f t="shared" si="20"/>
        <v>0</v>
      </c>
      <c r="BT26" s="7">
        <f t="shared" si="20"/>
        <v>0</v>
      </c>
      <c r="BU26" s="7">
        <f t="shared" si="20"/>
        <v>0.29962937246901883</v>
      </c>
      <c r="BV26" s="7">
        <f t="shared" si="20"/>
        <v>3.7266404970753386E-3</v>
      </c>
      <c r="BW26" s="7">
        <f t="shared" si="21"/>
        <v>1.1913929378210523E-3</v>
      </c>
      <c r="BX26" s="7">
        <f t="shared" si="21"/>
        <v>2.7260791057586642E-3</v>
      </c>
      <c r="BY26" s="7">
        <f t="shared" si="21"/>
        <v>0</v>
      </c>
      <c r="BZ26" s="72">
        <f t="shared" si="11"/>
        <v>1</v>
      </c>
      <c r="CA26" s="261">
        <f t="shared" si="28"/>
        <v>0.63818211969565464</v>
      </c>
      <c r="CB26" s="74">
        <f t="shared" si="22"/>
        <v>0</v>
      </c>
    </row>
    <row r="27" spans="1:80" x14ac:dyDescent="0.3">
      <c r="A27" s="91">
        <v>37105</v>
      </c>
      <c r="B27" s="206" t="s">
        <v>83</v>
      </c>
      <c r="C27" s="88">
        <f t="shared" si="17"/>
        <v>0.6065167087613339</v>
      </c>
      <c r="D27" s="178">
        <f t="shared" si="23"/>
        <v>7.6810355680240472E-2</v>
      </c>
      <c r="E27" s="271">
        <v>0.22</v>
      </c>
      <c r="F27" s="94">
        <v>0.12664178013678692</v>
      </c>
      <c r="G27" s="8">
        <v>5889.4290237057503</v>
      </c>
      <c r="H27" s="8">
        <v>73.292824384344229</v>
      </c>
      <c r="I27" s="8"/>
      <c r="J27" s="8">
        <v>6.3249346775677813</v>
      </c>
      <c r="K27" s="8">
        <v>1230.9787799570011</v>
      </c>
      <c r="L27" s="8">
        <v>2550.8184375462311</v>
      </c>
      <c r="M27" s="95">
        <v>702.70622247162362</v>
      </c>
      <c r="N27" s="96">
        <v>5176.8559554592703</v>
      </c>
      <c r="O27" s="71">
        <v>294.5685697602238</v>
      </c>
      <c r="P27" s="8">
        <v>1.1265138718173049</v>
      </c>
      <c r="Q27" s="95">
        <v>150.2577654490091</v>
      </c>
      <c r="R27" s="71">
        <v>0</v>
      </c>
      <c r="S27" s="8">
        <v>0</v>
      </c>
      <c r="T27" s="8"/>
      <c r="U27" s="8">
        <v>0</v>
      </c>
      <c r="V27" s="8">
        <v>3142.102242567275</v>
      </c>
      <c r="W27" s="8">
        <v>285.76359329004748</v>
      </c>
      <c r="X27" s="8">
        <v>0</v>
      </c>
      <c r="Y27" s="95">
        <v>110.0504307710011</v>
      </c>
      <c r="Z27" s="97">
        <v>10.99175828698694</v>
      </c>
      <c r="AA27" s="8"/>
      <c r="AB27" s="98">
        <f t="shared" si="24"/>
        <v>419.9327158854984</v>
      </c>
      <c r="AC27" s="71">
        <f t="shared" si="18"/>
        <v>20045.199768083643</v>
      </c>
      <c r="AD27" s="8">
        <v>8254.5366771652825</v>
      </c>
      <c r="AE27" s="95">
        <f t="shared" si="25"/>
        <v>11790.66309091836</v>
      </c>
      <c r="AF27" s="172" t="s">
        <v>84</v>
      </c>
      <c r="AG27" s="100">
        <v>32.436216623897117</v>
      </c>
      <c r="AH27" s="101">
        <v>1.1031544852926809</v>
      </c>
      <c r="AI27" s="101">
        <v>0</v>
      </c>
      <c r="AJ27" s="101">
        <v>4.6878454265871672E-2</v>
      </c>
      <c r="AK27" s="101">
        <v>20.14999157049267</v>
      </c>
      <c r="AL27" s="101">
        <v>15.68233448434402</v>
      </c>
      <c r="AM27" s="98">
        <v>17.66311197842148</v>
      </c>
      <c r="AN27" s="101">
        <v>192.83464409731539</v>
      </c>
      <c r="AO27" s="100">
        <v>7.2777135368173926</v>
      </c>
      <c r="AP27" s="101">
        <v>5.8327606659231632E-2</v>
      </c>
      <c r="AQ27" s="98">
        <v>2.462375178141897</v>
      </c>
      <c r="AR27" s="100">
        <v>14.84059502178</v>
      </c>
      <c r="AS27" s="101">
        <v>0</v>
      </c>
      <c r="AT27" s="101">
        <v>0</v>
      </c>
      <c r="AU27" s="101">
        <v>0.39898045302297758</v>
      </c>
      <c r="AV27" s="101">
        <v>84.014515119605946</v>
      </c>
      <c r="AW27" s="101">
        <v>8.8464235134114606</v>
      </c>
      <c r="AX27" s="101">
        <v>2.0786196470377352</v>
      </c>
      <c r="AY27" s="98">
        <v>1.236753092143575</v>
      </c>
      <c r="AZ27" s="100">
        <v>18.80208102284891</v>
      </c>
      <c r="BA27" s="98"/>
      <c r="BB27" s="102">
        <f t="shared" si="26"/>
        <v>419.9327158854984</v>
      </c>
      <c r="BC27" s="10"/>
      <c r="BD27" s="71">
        <f t="shared" si="19"/>
        <v>37105</v>
      </c>
      <c r="BE27" s="8" t="str">
        <f t="shared" si="19"/>
        <v>Tochten FGIK</v>
      </c>
      <c r="BF27" s="7">
        <f t="shared" si="27"/>
        <v>0.29542560357809733</v>
      </c>
      <c r="BG27" s="7">
        <f t="shared" si="20"/>
        <v>3.711411197212992E-3</v>
      </c>
      <c r="BH27" s="7">
        <f t="shared" si="20"/>
        <v>0</v>
      </c>
      <c r="BI27" s="7">
        <f t="shared" si="20"/>
        <v>3.1787226894984495E-4</v>
      </c>
      <c r="BJ27" s="7">
        <f t="shared" si="20"/>
        <v>6.2415380540111413E-2</v>
      </c>
      <c r="BK27" s="7">
        <f t="shared" si="20"/>
        <v>0.12803567945064873</v>
      </c>
      <c r="BL27" s="7">
        <f t="shared" si="20"/>
        <v>3.5937248956582173E-2</v>
      </c>
      <c r="BM27" s="7">
        <f t="shared" si="20"/>
        <v>0.26787912625876203</v>
      </c>
      <c r="BN27" s="7">
        <f t="shared" si="20"/>
        <v>1.5058282620742283E-2</v>
      </c>
      <c r="BO27" s="7">
        <f t="shared" si="20"/>
        <v>5.9108489423141795E-5</v>
      </c>
      <c r="BP27" s="7">
        <f t="shared" si="20"/>
        <v>7.6187886573380508E-3</v>
      </c>
      <c r="BQ27" s="7">
        <f t="shared" si="20"/>
        <v>7.403565538623109E-4</v>
      </c>
      <c r="BR27" s="7">
        <f t="shared" si="20"/>
        <v>0</v>
      </c>
      <c r="BS27" s="7">
        <f t="shared" si="20"/>
        <v>0</v>
      </c>
      <c r="BT27" s="7">
        <f t="shared" si="20"/>
        <v>1.9904039752112722E-5</v>
      </c>
      <c r="BU27" s="7">
        <f t="shared" si="20"/>
        <v>0.16094211058068711</v>
      </c>
      <c r="BV27" s="7">
        <f t="shared" si="20"/>
        <v>1.4697285146169647E-2</v>
      </c>
      <c r="BW27" s="7">
        <f t="shared" si="21"/>
        <v>1.0369662917240435E-4</v>
      </c>
      <c r="BX27" s="7">
        <f t="shared" si="21"/>
        <v>5.5518121620488064E-3</v>
      </c>
      <c r="BY27" s="7">
        <f t="shared" si="21"/>
        <v>1.4863328704398436E-3</v>
      </c>
      <c r="BZ27" s="72">
        <f t="shared" si="11"/>
        <v>1</v>
      </c>
      <c r="CA27" s="261">
        <f t="shared" si="28"/>
        <v>0.60651670876133401</v>
      </c>
      <c r="CB27" s="74">
        <f t="shared" si="22"/>
        <v>0</v>
      </c>
    </row>
    <row r="28" spans="1:80" x14ac:dyDescent="0.3">
      <c r="A28" s="91">
        <v>37106</v>
      </c>
      <c r="B28" s="206" t="s">
        <v>85</v>
      </c>
      <c r="C28" s="88">
        <f t="shared" si="17"/>
        <v>0.49001573745776345</v>
      </c>
      <c r="D28" s="178">
        <f t="shared" si="23"/>
        <v>6.5410781303203741E-2</v>
      </c>
      <c r="E28" s="271">
        <v>0.22</v>
      </c>
      <c r="F28" s="94">
        <v>0.13348710317460319</v>
      </c>
      <c r="G28" s="8">
        <v>1784.1401392847069</v>
      </c>
      <c r="H28" s="8">
        <v>52.645903901905989</v>
      </c>
      <c r="I28" s="8"/>
      <c r="J28" s="8">
        <v>0.94827846863500231</v>
      </c>
      <c r="K28" s="8">
        <v>275.55540976236051</v>
      </c>
      <c r="L28" s="8">
        <v>1200.940091600899</v>
      </c>
      <c r="M28" s="95">
        <v>257.45753150763193</v>
      </c>
      <c r="N28" s="96">
        <v>175.6229016879885</v>
      </c>
      <c r="O28" s="71">
        <v>185.2730033218655</v>
      </c>
      <c r="P28" s="8">
        <v>0.97665689837267</v>
      </c>
      <c r="Q28" s="95">
        <v>84.68954096959142</v>
      </c>
      <c r="R28" s="71">
        <v>0</v>
      </c>
      <c r="S28" s="8">
        <v>0</v>
      </c>
      <c r="T28" s="8"/>
      <c r="U28" s="8">
        <v>0</v>
      </c>
      <c r="V28" s="8">
        <v>142.0528729292237</v>
      </c>
      <c r="W28" s="8">
        <v>36.722936939819697</v>
      </c>
      <c r="X28" s="8">
        <v>0</v>
      </c>
      <c r="Y28" s="95">
        <v>25.289400440741979</v>
      </c>
      <c r="Z28" s="97">
        <v>0</v>
      </c>
      <c r="AA28" s="8"/>
      <c r="AB28" s="98">
        <f t="shared" si="24"/>
        <v>143.07376739177525</v>
      </c>
      <c r="AC28" s="71">
        <f t="shared" si="18"/>
        <v>4365.3884351055185</v>
      </c>
      <c r="AD28" s="8">
        <v>2076.0683357468838</v>
      </c>
      <c r="AE28" s="95">
        <f t="shared" si="25"/>
        <v>2289.3200993586347</v>
      </c>
      <c r="AF28" s="172" t="s">
        <v>86</v>
      </c>
      <c r="AG28" s="100">
        <v>12.10513651556986</v>
      </c>
      <c r="AH28" s="101">
        <v>0.41900683083391582</v>
      </c>
      <c r="AI28" s="101">
        <v>0</v>
      </c>
      <c r="AJ28" s="101">
        <v>1.7263066226222631E-2</v>
      </c>
      <c r="AK28" s="101">
        <v>7.3742715868613669</v>
      </c>
      <c r="AL28" s="101">
        <v>5.8562178702054641</v>
      </c>
      <c r="AM28" s="98">
        <v>6.6472186091343524</v>
      </c>
      <c r="AN28" s="101">
        <v>64.278214699105106</v>
      </c>
      <c r="AO28" s="100">
        <v>2.4259045122724641</v>
      </c>
      <c r="AP28" s="101">
        <v>1.9442535553077209E-2</v>
      </c>
      <c r="AQ28" s="98">
        <v>0.82079172604729878</v>
      </c>
      <c r="AR28" s="100">
        <v>4.9068401655675533</v>
      </c>
      <c r="AS28" s="101">
        <v>0</v>
      </c>
      <c r="AT28" s="101">
        <v>0</v>
      </c>
      <c r="AU28" s="101">
        <v>0.13299348434099251</v>
      </c>
      <c r="AV28" s="101">
        <v>28.004838373201981</v>
      </c>
      <c r="AW28" s="101">
        <v>2.9488078378038201</v>
      </c>
      <c r="AX28" s="101">
        <v>0.69287321567924487</v>
      </c>
      <c r="AY28" s="98">
        <v>0.4122510307145249</v>
      </c>
      <c r="AZ28" s="100">
        <v>6.0116953326580091</v>
      </c>
      <c r="BA28" s="98"/>
      <c r="BB28" s="102">
        <f t="shared" si="26"/>
        <v>143.07376739177525</v>
      </c>
      <c r="BC28" s="10"/>
      <c r="BD28" s="71">
        <f t="shared" si="19"/>
        <v>37106</v>
      </c>
      <c r="BE28" s="8" t="str">
        <f t="shared" si="19"/>
        <v>Tochten FGIK ZUID</v>
      </c>
      <c r="BF28" s="7">
        <f t="shared" si="27"/>
        <v>0.41147432868865852</v>
      </c>
      <c r="BG28" s="7">
        <f t="shared" si="20"/>
        <v>1.21558279455737E-2</v>
      </c>
      <c r="BH28" s="7">
        <f t="shared" si="20"/>
        <v>0</v>
      </c>
      <c r="BI28" s="7">
        <f t="shared" si="20"/>
        <v>2.2118112722720087E-4</v>
      </c>
      <c r="BJ28" s="7">
        <f t="shared" si="20"/>
        <v>6.4812028884752154E-2</v>
      </c>
      <c r="BK28" s="7">
        <f t="shared" si="20"/>
        <v>0.27644648979373909</v>
      </c>
      <c r="BL28" s="7">
        <f t="shared" si="20"/>
        <v>6.0499713609192825E-2</v>
      </c>
      <c r="BM28" s="7">
        <f t="shared" si="20"/>
        <v>5.495527372956327E-2</v>
      </c>
      <c r="BN28" s="7">
        <f t="shared" si="20"/>
        <v>4.2997069017891645E-2</v>
      </c>
      <c r="BO28" s="7">
        <f t="shared" si="20"/>
        <v>2.2818116846494779E-4</v>
      </c>
      <c r="BP28" s="7">
        <f t="shared" si="20"/>
        <v>1.9588252905052606E-2</v>
      </c>
      <c r="BQ28" s="7">
        <f t="shared" si="20"/>
        <v>1.1240328869953006E-3</v>
      </c>
      <c r="BR28" s="7">
        <f t="shared" si="20"/>
        <v>0</v>
      </c>
      <c r="BS28" s="7">
        <f t="shared" si="20"/>
        <v>0</v>
      </c>
      <c r="BT28" s="7">
        <f t="shared" si="20"/>
        <v>3.0465441121227013E-5</v>
      </c>
      <c r="BU28" s="7">
        <f t="shared" si="20"/>
        <v>3.8955917401269038E-2</v>
      </c>
      <c r="BV28" s="7">
        <f t="shared" si="20"/>
        <v>9.0877926139611865E-3</v>
      </c>
      <c r="BW28" s="7">
        <f t="shared" si="21"/>
        <v>1.5871971669400756E-4</v>
      </c>
      <c r="BX28" s="7">
        <f t="shared" si="21"/>
        <v>5.8875978285848124E-3</v>
      </c>
      <c r="BY28" s="7">
        <f t="shared" si="21"/>
        <v>1.3771272412583593E-3</v>
      </c>
      <c r="BZ28" s="72">
        <f t="shared" si="11"/>
        <v>0.99999999999999989</v>
      </c>
      <c r="CA28" s="261">
        <f t="shared" si="28"/>
        <v>0.49001573745776345</v>
      </c>
      <c r="CB28" s="74">
        <f t="shared" si="22"/>
        <v>0</v>
      </c>
    </row>
    <row r="29" spans="1:80" x14ac:dyDescent="0.3">
      <c r="A29" s="91">
        <v>37107</v>
      </c>
      <c r="B29" s="206" t="s">
        <v>87</v>
      </c>
      <c r="C29" s="88">
        <f t="shared" si="17"/>
        <v>0.59010440880939485</v>
      </c>
      <c r="D29" s="178">
        <f t="shared" si="23"/>
        <v>3.6184874512409412E-2</v>
      </c>
      <c r="E29" s="271">
        <v>0.22</v>
      </c>
      <c r="F29" s="94">
        <v>6.1319444444444426E-2</v>
      </c>
      <c r="G29" s="8">
        <v>3695.1477144706569</v>
      </c>
      <c r="H29" s="8">
        <v>28.22102446879375</v>
      </c>
      <c r="I29" s="8"/>
      <c r="J29" s="8">
        <v>3.231792895915643</v>
      </c>
      <c r="K29" s="8">
        <v>166.12647553393771</v>
      </c>
      <c r="L29" s="8">
        <v>1776.6777188471381</v>
      </c>
      <c r="M29" s="95">
        <v>36.729519606400622</v>
      </c>
      <c r="N29" s="96">
        <v>2882.0256092793702</v>
      </c>
      <c r="O29" s="71">
        <v>122.7205367940186</v>
      </c>
      <c r="P29" s="8">
        <v>5.1469801659696213</v>
      </c>
      <c r="Q29" s="95">
        <v>105.0597057812401</v>
      </c>
      <c r="R29" s="71">
        <v>0</v>
      </c>
      <c r="S29" s="8">
        <v>0</v>
      </c>
      <c r="T29" s="8"/>
      <c r="U29" s="8">
        <v>14.104795189261329</v>
      </c>
      <c r="V29" s="8">
        <v>122.5338001087183</v>
      </c>
      <c r="W29" s="8">
        <v>0</v>
      </c>
      <c r="X29" s="8">
        <v>0</v>
      </c>
      <c r="Y29" s="95">
        <v>64.405972971709062</v>
      </c>
      <c r="Z29" s="97">
        <v>0</v>
      </c>
      <c r="AA29" s="8"/>
      <c r="AB29" s="98">
        <f t="shared" si="24"/>
        <v>2479.0655914006302</v>
      </c>
      <c r="AC29" s="71">
        <f t="shared" si="18"/>
        <v>11501.197237513759</v>
      </c>
      <c r="AD29" s="8">
        <v>4142.2712585528807</v>
      </c>
      <c r="AE29" s="95">
        <f t="shared" si="25"/>
        <v>7358.9259789608786</v>
      </c>
      <c r="AF29" s="172" t="s">
        <v>88</v>
      </c>
      <c r="AG29" s="100">
        <v>207.01154876203429</v>
      </c>
      <c r="AH29" s="101">
        <v>7.1481603604277462</v>
      </c>
      <c r="AI29" s="101">
        <v>0</v>
      </c>
      <c r="AJ29" s="101">
        <v>0.29576764664455057</v>
      </c>
      <c r="AK29" s="101">
        <v>126.4536855342014</v>
      </c>
      <c r="AL29" s="101">
        <v>100.1394283626387</v>
      </c>
      <c r="AM29" s="98">
        <v>113.5437039539289</v>
      </c>
      <c r="AN29" s="101">
        <v>1117.4520401536729</v>
      </c>
      <c r="AO29" s="100">
        <v>42.173416905659757</v>
      </c>
      <c r="AP29" s="101">
        <v>0.33800100269195771</v>
      </c>
      <c r="AQ29" s="98">
        <v>14.26914846820689</v>
      </c>
      <c r="AR29" s="100">
        <v>85.409748804358188</v>
      </c>
      <c r="AS29" s="101">
        <v>0</v>
      </c>
      <c r="AT29" s="101">
        <v>0</v>
      </c>
      <c r="AU29" s="101">
        <v>2.3120405739280239</v>
      </c>
      <c r="AV29" s="101">
        <v>486.85334402643451</v>
      </c>
      <c r="AW29" s="101">
        <v>51.263890103358719</v>
      </c>
      <c r="AX29" s="101">
        <v>12.045334364885329</v>
      </c>
      <c r="AY29" s="98">
        <v>7.1668256108832793</v>
      </c>
      <c r="AZ29" s="100">
        <v>105.1895067666747</v>
      </c>
      <c r="BA29" s="98"/>
      <c r="BB29" s="102">
        <f t="shared" si="26"/>
        <v>2479.0655914006302</v>
      </c>
      <c r="BC29" s="10"/>
      <c r="BD29" s="71">
        <f t="shared" si="19"/>
        <v>37107</v>
      </c>
      <c r="BE29" s="8" t="str">
        <f t="shared" si="19"/>
        <v>Tochten H</v>
      </c>
      <c r="BF29" s="7">
        <f t="shared" si="27"/>
        <v>0.33928287487366227</v>
      </c>
      <c r="BG29" s="7">
        <f t="shared" si="20"/>
        <v>3.0752611314113359E-3</v>
      </c>
      <c r="BH29" s="7">
        <f t="shared" si="20"/>
        <v>0</v>
      </c>
      <c r="BI29" s="7">
        <f t="shared" si="20"/>
        <v>3.0671246390369308E-4</v>
      </c>
      <c r="BJ29" s="7">
        <f t="shared" si="20"/>
        <v>2.5439104731968479E-2</v>
      </c>
      <c r="BK29" s="7">
        <f t="shared" si="20"/>
        <v>0.16318450231321247</v>
      </c>
      <c r="BL29" s="7">
        <f t="shared" si="20"/>
        <v>1.3065876574151722E-2</v>
      </c>
      <c r="BM29" s="7">
        <f t="shared" si="20"/>
        <v>0.347744462323265</v>
      </c>
      <c r="BN29" s="7">
        <f t="shared" si="20"/>
        <v>1.4337112067067189E-2</v>
      </c>
      <c r="BO29" s="7">
        <f t="shared" si="20"/>
        <v>4.76905234767305E-4</v>
      </c>
      <c r="BP29" s="7">
        <f t="shared" si="20"/>
        <v>1.037534195659465E-2</v>
      </c>
      <c r="BQ29" s="7">
        <f t="shared" si="20"/>
        <v>7.4261615587092921E-3</v>
      </c>
      <c r="BR29" s="7">
        <f t="shared" si="20"/>
        <v>0</v>
      </c>
      <c r="BS29" s="7">
        <f t="shared" si="20"/>
        <v>0</v>
      </c>
      <c r="BT29" s="7">
        <f t="shared" si="20"/>
        <v>1.4274023324843197E-3</v>
      </c>
      <c r="BU29" s="7">
        <f t="shared" si="20"/>
        <v>5.2984670339145092E-2</v>
      </c>
      <c r="BV29" s="7">
        <f t="shared" si="20"/>
        <v>4.4572655389431923E-3</v>
      </c>
      <c r="BW29" s="7">
        <f t="shared" si="21"/>
        <v>1.0473113464741517E-3</v>
      </c>
      <c r="BX29" s="7">
        <f t="shared" si="21"/>
        <v>6.2230737465436602E-3</v>
      </c>
      <c r="BY29" s="7">
        <f t="shared" si="21"/>
        <v>9.1459614676961884E-3</v>
      </c>
      <c r="BZ29" s="72">
        <f t="shared" si="11"/>
        <v>0.99999999999999989</v>
      </c>
      <c r="CA29" s="261">
        <f t="shared" si="28"/>
        <v>0.59010440880939496</v>
      </c>
      <c r="CB29" s="74">
        <f t="shared" si="22"/>
        <v>0</v>
      </c>
    </row>
    <row r="30" spans="1:80" x14ac:dyDescent="0.3">
      <c r="A30" s="91">
        <v>37108</v>
      </c>
      <c r="B30" s="206" t="s">
        <v>156</v>
      </c>
      <c r="C30" s="88">
        <f t="shared" si="17"/>
        <v>0.63122746372280591</v>
      </c>
      <c r="D30" s="178">
        <f t="shared" si="23"/>
        <v>0.14795950536162705</v>
      </c>
      <c r="E30" s="271">
        <v>0.27</v>
      </c>
      <c r="F30" s="94">
        <v>0.23439966393255865</v>
      </c>
      <c r="G30" s="8">
        <v>3683.2817827245922</v>
      </c>
      <c r="H30" s="8">
        <v>75.780246414096737</v>
      </c>
      <c r="I30" s="8"/>
      <c r="J30" s="8">
        <v>3.6335352569669119</v>
      </c>
      <c r="K30" s="8">
        <v>2564.5875232991002</v>
      </c>
      <c r="L30" s="8">
        <v>887.595133367529</v>
      </c>
      <c r="M30" s="95">
        <v>710.51031628701003</v>
      </c>
      <c r="N30" s="96">
        <v>3295.7924800813598</v>
      </c>
      <c r="O30" s="71">
        <v>234.09216389175211</v>
      </c>
      <c r="P30" s="8">
        <v>2.2447725854167828</v>
      </c>
      <c r="Q30" s="95">
        <v>137.06079960139721</v>
      </c>
      <c r="R30" s="71">
        <v>0</v>
      </c>
      <c r="S30" s="8">
        <v>0</v>
      </c>
      <c r="T30" s="8"/>
      <c r="U30" s="8">
        <v>36.435767556127843</v>
      </c>
      <c r="V30" s="8">
        <v>2020.481193848578</v>
      </c>
      <c r="W30" s="8">
        <v>55.872747186296948</v>
      </c>
      <c r="X30" s="8">
        <v>1.001353038516154</v>
      </c>
      <c r="Y30" s="95">
        <v>106.4993806026505</v>
      </c>
      <c r="Z30" s="97">
        <v>54.934321171543651</v>
      </c>
      <c r="AA30" s="8"/>
      <c r="AB30" s="98">
        <f t="shared" si="24"/>
        <v>0</v>
      </c>
      <c r="AC30" s="71">
        <f t="shared" si="18"/>
        <v>13869.803516912934</v>
      </c>
      <c r="AD30" s="8">
        <v>5912.621488013152</v>
      </c>
      <c r="AE30" s="95">
        <f t="shared" si="25"/>
        <v>7957.1820288997824</v>
      </c>
      <c r="AF30" s="172" t="s">
        <v>90</v>
      </c>
      <c r="AG30" s="100"/>
      <c r="AH30" s="101"/>
      <c r="AI30" s="101"/>
      <c r="AJ30" s="101"/>
      <c r="AK30" s="101"/>
      <c r="AL30" s="101"/>
      <c r="AM30" s="98"/>
      <c r="AN30" s="101"/>
      <c r="AO30" s="100"/>
      <c r="AP30" s="101"/>
      <c r="AQ30" s="98"/>
      <c r="AR30" s="100"/>
      <c r="AS30" s="101"/>
      <c r="AT30" s="101"/>
      <c r="AU30" s="101"/>
      <c r="AV30" s="101"/>
      <c r="AW30" s="101"/>
      <c r="AX30" s="101"/>
      <c r="AY30" s="98"/>
      <c r="AZ30" s="100"/>
      <c r="BA30" s="98"/>
      <c r="BB30" s="102">
        <f t="shared" si="26"/>
        <v>0</v>
      </c>
      <c r="BC30" s="10"/>
      <c r="BD30" s="71">
        <f t="shared" si="19"/>
        <v>37108</v>
      </c>
      <c r="BE30" s="8" t="str">
        <f t="shared" si="19"/>
        <v>Tochten J</v>
      </c>
      <c r="BF30" s="7">
        <f t="shared" si="27"/>
        <v>0.2655612084362387</v>
      </c>
      <c r="BG30" s="7">
        <f t="shared" si="20"/>
        <v>5.4636856478673095E-3</v>
      </c>
      <c r="BH30" s="7">
        <f t="shared" si="20"/>
        <v>0</v>
      </c>
      <c r="BI30" s="7">
        <f t="shared" si="20"/>
        <v>2.619745299589972E-4</v>
      </c>
      <c r="BJ30" s="7">
        <f t="shared" si="20"/>
        <v>0.18490438744657228</v>
      </c>
      <c r="BK30" s="7">
        <f t="shared" si="20"/>
        <v>6.3994787834246489E-2</v>
      </c>
      <c r="BL30" s="7">
        <f t="shared" si="20"/>
        <v>5.1227136377282406E-2</v>
      </c>
      <c r="BM30" s="7">
        <f t="shared" si="20"/>
        <v>0.23762358825504973</v>
      </c>
      <c r="BN30" s="7">
        <f t="shared" si="20"/>
        <v>1.6877828413812676E-2</v>
      </c>
      <c r="BO30" s="7">
        <f t="shared" si="20"/>
        <v>1.6184602634633516E-4</v>
      </c>
      <c r="BP30" s="7">
        <f t="shared" si="20"/>
        <v>9.8819568304817241E-3</v>
      </c>
      <c r="BQ30" s="7">
        <f t="shared" si="20"/>
        <v>0</v>
      </c>
      <c r="BR30" s="7">
        <f t="shared" si="20"/>
        <v>0</v>
      </c>
      <c r="BS30" s="7">
        <f t="shared" si="20"/>
        <v>0</v>
      </c>
      <c r="BT30" s="7">
        <f t="shared" si="20"/>
        <v>2.6269851272008155E-3</v>
      </c>
      <c r="BU30" s="7">
        <f t="shared" si="20"/>
        <v>0.1456748245485085</v>
      </c>
      <c r="BV30" s="7">
        <f t="shared" si="20"/>
        <v>4.0283733737226579E-3</v>
      </c>
      <c r="BW30" s="7">
        <f t="shared" si="21"/>
        <v>7.2196627536583134E-5</v>
      </c>
      <c r="BX30" s="7">
        <f t="shared" si="21"/>
        <v>7.6785067988010373E-3</v>
      </c>
      <c r="BY30" s="7">
        <f t="shared" si="21"/>
        <v>3.960713726373727E-3</v>
      </c>
      <c r="BZ30" s="72">
        <f t="shared" si="11"/>
        <v>0.99999999999999989</v>
      </c>
      <c r="CA30" s="261">
        <f t="shared" si="28"/>
        <v>0.63122746372280569</v>
      </c>
      <c r="CB30" s="74">
        <f t="shared" si="22"/>
        <v>0</v>
      </c>
    </row>
    <row r="31" spans="1:80" x14ac:dyDescent="0.3">
      <c r="A31" s="91">
        <v>37109</v>
      </c>
      <c r="B31" s="206" t="s">
        <v>91</v>
      </c>
      <c r="C31" s="88">
        <f>(SUMPRODUCT(G31:AA31,$G$38:$AA$38)+SUMPRODUCT(AG31:BA31,$AG$38:$BA$38))/AC31</f>
        <v>0.53485185830610038</v>
      </c>
      <c r="D31" s="178">
        <f t="shared" si="23"/>
        <v>5.2923488359413157E-2</v>
      </c>
      <c r="E31" s="271">
        <v>0.22</v>
      </c>
      <c r="F31" s="94">
        <v>9.8949807385963276E-2</v>
      </c>
      <c r="G31" s="8">
        <v>15717.99663036058</v>
      </c>
      <c r="H31" s="8">
        <v>2344.444092549229</v>
      </c>
      <c r="I31" s="8"/>
      <c r="J31" s="8">
        <v>14.21699284593136</v>
      </c>
      <c r="K31" s="8">
        <v>10310.296260704639</v>
      </c>
      <c r="L31" s="8">
        <v>5626.0086991186317</v>
      </c>
      <c r="M31" s="95">
        <v>965.95682561191234</v>
      </c>
      <c r="N31" s="96">
        <v>7615.9049433290656</v>
      </c>
      <c r="O31" s="71">
        <v>816.07618174494792</v>
      </c>
      <c r="P31" s="8">
        <v>683.23717227830866</v>
      </c>
      <c r="Q31" s="95">
        <v>471.52383658301699</v>
      </c>
      <c r="R31" s="71">
        <v>0</v>
      </c>
      <c r="S31" s="8">
        <v>0</v>
      </c>
      <c r="T31" s="8"/>
      <c r="U31" s="8">
        <v>185.16539666878069</v>
      </c>
      <c r="V31" s="8">
        <v>737.6875186862078</v>
      </c>
      <c r="W31" s="8">
        <v>80.041559131604714</v>
      </c>
      <c r="X31" s="8">
        <v>0.35480341713258789</v>
      </c>
      <c r="Y31" s="95">
        <v>222.23229953301791</v>
      </c>
      <c r="Z31" s="97">
        <v>3077.4885114968188</v>
      </c>
      <c r="AA31" s="8"/>
      <c r="AB31" s="98">
        <f t="shared" si="24"/>
        <v>1941.6078844242113</v>
      </c>
      <c r="AC31" s="71">
        <f t="shared" si="18"/>
        <v>50810.239608484029</v>
      </c>
      <c r="AD31" s="8">
        <v>21590.50049370237</v>
      </c>
      <c r="AE31" s="95">
        <f t="shared" si="25"/>
        <v>29219.73911478166</v>
      </c>
      <c r="AF31" s="172" t="s">
        <v>92</v>
      </c>
      <c r="AG31" s="100">
        <v>409.14049141804441</v>
      </c>
      <c r="AH31" s="101">
        <v>17.959354585360401</v>
      </c>
      <c r="AI31" s="101">
        <v>0</v>
      </c>
      <c r="AJ31" s="101">
        <v>6.0540627140514749</v>
      </c>
      <c r="AK31" s="101">
        <v>161.0499715002309</v>
      </c>
      <c r="AL31" s="101">
        <v>184.1662507368884</v>
      </c>
      <c r="AM31" s="98">
        <v>43.12123723766328</v>
      </c>
      <c r="AN31" s="101">
        <v>184.13064466421341</v>
      </c>
      <c r="AO31" s="100">
        <v>139.0023898044185</v>
      </c>
      <c r="AP31" s="101">
        <v>13.81484018279658</v>
      </c>
      <c r="AQ31" s="98">
        <v>20.437359612659449</v>
      </c>
      <c r="AR31" s="100">
        <v>416.1890076368382</v>
      </c>
      <c r="AS31" s="101">
        <v>6.0367415900097983E-2</v>
      </c>
      <c r="AT31" s="101">
        <v>0</v>
      </c>
      <c r="AU31" s="101">
        <v>9.0882784095517692</v>
      </c>
      <c r="AV31" s="101">
        <v>29.837153825953401</v>
      </c>
      <c r="AW31" s="101">
        <v>23.072343909303211</v>
      </c>
      <c r="AX31" s="101">
        <v>18.017809867449039</v>
      </c>
      <c r="AY31" s="98">
        <v>7.4737644786470954</v>
      </c>
      <c r="AZ31" s="100">
        <v>258.99255642424151</v>
      </c>
      <c r="BA31" s="98"/>
      <c r="BB31" s="102">
        <f t="shared" si="26"/>
        <v>1941.6078844242113</v>
      </c>
      <c r="BC31" s="10"/>
      <c r="BD31" s="71">
        <f t="shared" si="19"/>
        <v>37109</v>
      </c>
      <c r="BE31" s="8" t="str">
        <f t="shared" si="19"/>
        <v>Tochten lage afdeling NOP</v>
      </c>
      <c r="BF31" s="7">
        <f t="shared" si="27"/>
        <v>0.31739935190318996</v>
      </c>
      <c r="BG31" s="7">
        <f t="shared" si="20"/>
        <v>4.6494633076678657E-2</v>
      </c>
      <c r="BH31" s="7">
        <f t="shared" si="20"/>
        <v>0</v>
      </c>
      <c r="BI31" s="7">
        <f t="shared" si="20"/>
        <v>3.9895611034666481E-4</v>
      </c>
      <c r="BJ31" s="7">
        <f t="shared" si="20"/>
        <v>0.2060873224155475</v>
      </c>
      <c r="BK31" s="7">
        <f t="shared" si="20"/>
        <v>0.11435047334209712</v>
      </c>
      <c r="BL31" s="7">
        <f t="shared" si="20"/>
        <v>1.9859738324892393E-2</v>
      </c>
      <c r="BM31" s="7">
        <f t="shared" si="20"/>
        <v>0.15351306445504087</v>
      </c>
      <c r="BN31" s="7">
        <f t="shared" si="20"/>
        <v>1.8796970431721648E-2</v>
      </c>
      <c r="BO31" s="7">
        <f t="shared" si="20"/>
        <v>1.3718731063506245E-2</v>
      </c>
      <c r="BP31" s="7">
        <f t="shared" si="20"/>
        <v>9.6823238777549742E-3</v>
      </c>
      <c r="BQ31" s="7">
        <f t="shared" si="20"/>
        <v>8.191045955377568E-3</v>
      </c>
      <c r="BR31" s="7">
        <f t="shared" si="20"/>
        <v>1.1880954777079647E-6</v>
      </c>
      <c r="BS31" s="7">
        <f t="shared" si="20"/>
        <v>0</v>
      </c>
      <c r="BT31" s="7">
        <f t="shared" si="20"/>
        <v>3.8231206263765975E-3</v>
      </c>
      <c r="BU31" s="7">
        <f t="shared" si="20"/>
        <v>1.510570858209462E-2</v>
      </c>
      <c r="BV31" s="7">
        <f t="shared" si="20"/>
        <v>2.0293921822736398E-3</v>
      </c>
      <c r="BW31" s="7">
        <f t="shared" si="21"/>
        <v>3.6159273064151939E-4</v>
      </c>
      <c r="BX31" s="7">
        <f t="shared" si="21"/>
        <v>4.5208616566592592E-3</v>
      </c>
      <c r="BY31" s="7">
        <f t="shared" si="21"/>
        <v>6.5665525170323188E-2</v>
      </c>
      <c r="BZ31" s="72">
        <f t="shared" si="11"/>
        <v>1.0000000000000002</v>
      </c>
      <c r="CA31" s="261">
        <f>SUMPRODUCT(BF31:BY31,$BF$38:$BY$38)</f>
        <v>0.53485185830610038</v>
      </c>
      <c r="CB31" s="74">
        <f t="shared" si="22"/>
        <v>0</v>
      </c>
    </row>
    <row r="32" spans="1:80" x14ac:dyDescent="0.3">
      <c r="A32" s="91">
        <v>37110</v>
      </c>
      <c r="B32" s="206" t="s">
        <v>93</v>
      </c>
      <c r="C32" s="88">
        <f t="shared" si="17"/>
        <v>0.77968467085868964</v>
      </c>
      <c r="D32" s="178"/>
      <c r="E32" s="271"/>
      <c r="F32" s="94"/>
      <c r="G32" s="8">
        <v>30.10783080697729</v>
      </c>
      <c r="H32" s="8">
        <v>3.5360702329128921</v>
      </c>
      <c r="I32" s="8"/>
      <c r="J32" s="8">
        <v>0.116234470704886</v>
      </c>
      <c r="K32" s="8">
        <v>19.819122661180121</v>
      </c>
      <c r="L32" s="8">
        <v>17.271379019890929</v>
      </c>
      <c r="M32" s="95">
        <v>1010.469119646016</v>
      </c>
      <c r="N32" s="96">
        <v>25.542605260181741</v>
      </c>
      <c r="O32" s="71">
        <v>3.856927580609296</v>
      </c>
      <c r="P32" s="8">
        <v>19.337019074394551</v>
      </c>
      <c r="Q32" s="95">
        <v>2.1008342467382128</v>
      </c>
      <c r="R32" s="71">
        <v>0</v>
      </c>
      <c r="S32" s="8">
        <v>0</v>
      </c>
      <c r="T32" s="8"/>
      <c r="U32" s="8">
        <v>0</v>
      </c>
      <c r="V32" s="8">
        <v>3548.2040299939681</v>
      </c>
      <c r="W32" s="8">
        <v>2092.5966936664349</v>
      </c>
      <c r="X32" s="8">
        <v>0</v>
      </c>
      <c r="Y32" s="95">
        <v>17.912559059068521</v>
      </c>
      <c r="Z32" s="97">
        <v>0</v>
      </c>
      <c r="AA32" s="8"/>
      <c r="AB32" s="98">
        <f t="shared" si="24"/>
        <v>0</v>
      </c>
      <c r="AC32" s="71">
        <f t="shared" si="18"/>
        <v>6790.8704257190784</v>
      </c>
      <c r="AD32" s="8">
        <v>2759.9934231815532</v>
      </c>
      <c r="AE32" s="95">
        <f t="shared" si="25"/>
        <v>4030.8770025375252</v>
      </c>
      <c r="AF32" s="172" t="s">
        <v>93</v>
      </c>
      <c r="AG32" s="100"/>
      <c r="AH32" s="101"/>
      <c r="AI32" s="101"/>
      <c r="AJ32" s="101"/>
      <c r="AK32" s="101"/>
      <c r="AL32" s="101"/>
      <c r="AM32" s="98"/>
      <c r="AN32" s="101"/>
      <c r="AO32" s="100"/>
      <c r="AP32" s="101"/>
      <c r="AQ32" s="98"/>
      <c r="AR32" s="100"/>
      <c r="AS32" s="101"/>
      <c r="AT32" s="101"/>
      <c r="AU32" s="101"/>
      <c r="AV32" s="101"/>
      <c r="AW32" s="101"/>
      <c r="AX32" s="101"/>
      <c r="AY32" s="98"/>
      <c r="AZ32" s="100"/>
      <c r="BA32" s="98"/>
      <c r="BB32" s="102">
        <f t="shared" si="26"/>
        <v>0</v>
      </c>
      <c r="BC32" s="10"/>
      <c r="BD32" s="71">
        <f t="shared" si="19"/>
        <v>37110</v>
      </c>
      <c r="BE32" s="8" t="str">
        <f t="shared" si="19"/>
        <v>Oostvaardersplassen</v>
      </c>
      <c r="BF32" s="7">
        <f t="shared" si="27"/>
        <v>4.4335746258608961E-3</v>
      </c>
      <c r="BG32" s="7">
        <f t="shared" si="20"/>
        <v>5.2070942474777987E-4</v>
      </c>
      <c r="BH32" s="7">
        <f t="shared" si="20"/>
        <v>0</v>
      </c>
      <c r="BI32" s="7">
        <f t="shared" si="20"/>
        <v>1.711628457298654E-5</v>
      </c>
      <c r="BJ32" s="7">
        <f t="shared" si="20"/>
        <v>2.9184951882043151E-3</v>
      </c>
      <c r="BK32" s="7">
        <f t="shared" si="20"/>
        <v>2.5433233057251393E-3</v>
      </c>
      <c r="BL32" s="7">
        <f t="shared" si="20"/>
        <v>0.14879817406308682</v>
      </c>
      <c r="BM32" s="7">
        <f t="shared" si="20"/>
        <v>3.7613153629679308E-3</v>
      </c>
      <c r="BN32" s="7">
        <f t="shared" si="20"/>
        <v>5.6795776370609956E-4</v>
      </c>
      <c r="BO32" s="7">
        <f t="shared" si="20"/>
        <v>2.8475022879481571E-3</v>
      </c>
      <c r="BP32" s="7">
        <f t="shared" si="20"/>
        <v>3.0936155677212138E-4</v>
      </c>
      <c r="BQ32" s="7">
        <f t="shared" si="20"/>
        <v>0</v>
      </c>
      <c r="BR32" s="7">
        <f t="shared" si="20"/>
        <v>0</v>
      </c>
      <c r="BS32" s="7">
        <f t="shared" si="20"/>
        <v>0</v>
      </c>
      <c r="BT32" s="7">
        <f t="shared" si="20"/>
        <v>0</v>
      </c>
      <c r="BU32" s="7">
        <f t="shared" si="20"/>
        <v>0.52249620557562804</v>
      </c>
      <c r="BV32" s="7">
        <f t="shared" si="20"/>
        <v>0.30814852330875564</v>
      </c>
      <c r="BW32" s="7">
        <f t="shared" si="21"/>
        <v>0</v>
      </c>
      <c r="BX32" s="7">
        <f t="shared" si="21"/>
        <v>2.6377412520239302E-3</v>
      </c>
      <c r="BY32" s="7">
        <f t="shared" si="21"/>
        <v>0</v>
      </c>
      <c r="BZ32" s="72">
        <f t="shared" si="11"/>
        <v>0.99999999999999989</v>
      </c>
      <c r="CA32" s="261">
        <f t="shared" si="28"/>
        <v>0.77968467085868964</v>
      </c>
      <c r="CB32" s="74">
        <f t="shared" si="22"/>
        <v>0</v>
      </c>
    </row>
    <row r="33" spans="1:80" x14ac:dyDescent="0.3">
      <c r="A33" s="91">
        <v>37111</v>
      </c>
      <c r="B33" s="206" t="s">
        <v>94</v>
      </c>
      <c r="C33" s="88">
        <f>(SUMPRODUCT(G33:AA33,$G$38:$AA$38)+SUMPRODUCT(AG33:BA33,$AG$38:$BA$38))/AC33</f>
        <v>0.49865720908238709</v>
      </c>
      <c r="D33" s="178">
        <f t="shared" si="23"/>
        <v>5.5649261243852062E-2</v>
      </c>
      <c r="E33" s="271">
        <v>0.22</v>
      </c>
      <c r="F33" s="94">
        <v>0.11159822866344606</v>
      </c>
      <c r="G33" s="8">
        <v>3783.629536995144</v>
      </c>
      <c r="H33" s="8">
        <v>81.535714786335788</v>
      </c>
      <c r="I33" s="8"/>
      <c r="J33" s="8">
        <v>2.996559896288236</v>
      </c>
      <c r="K33" s="8">
        <v>1578.6284664413679</v>
      </c>
      <c r="L33" s="8">
        <v>1196.4801421817399</v>
      </c>
      <c r="M33" s="95">
        <v>142.19228171004579</v>
      </c>
      <c r="N33" s="96">
        <v>1784.211673102843</v>
      </c>
      <c r="O33" s="71">
        <v>255.27255246992831</v>
      </c>
      <c r="P33" s="8">
        <v>212.78206326626619</v>
      </c>
      <c r="Q33" s="95">
        <v>115.5009374625059</v>
      </c>
      <c r="R33" s="71">
        <v>0</v>
      </c>
      <c r="S33" s="8">
        <v>0</v>
      </c>
      <c r="T33" s="8"/>
      <c r="U33" s="8">
        <v>14.01699148477879</v>
      </c>
      <c r="V33" s="8">
        <v>63.398440968748631</v>
      </c>
      <c r="W33" s="8">
        <v>2.739405010349484</v>
      </c>
      <c r="X33" s="8">
        <v>4.9097180617556511</v>
      </c>
      <c r="Y33" s="95">
        <v>43.839679802290043</v>
      </c>
      <c r="Z33" s="97">
        <v>2668.4818692395002</v>
      </c>
      <c r="AA33" s="8"/>
      <c r="AB33" s="98">
        <f t="shared" si="24"/>
        <v>224.45006516820465</v>
      </c>
      <c r="AC33" s="71">
        <f t="shared" si="18"/>
        <v>12175.066098048093</v>
      </c>
      <c r="AD33" s="8">
        <v>4682.0952298492502</v>
      </c>
      <c r="AE33" s="95">
        <f t="shared" si="25"/>
        <v>7492.9708681988432</v>
      </c>
      <c r="AF33" s="172" t="s">
        <v>95</v>
      </c>
      <c r="AG33" s="100">
        <v>69.56102943861346</v>
      </c>
      <c r="AH33" s="101">
        <v>11.031412826434821</v>
      </c>
      <c r="AI33" s="101">
        <v>0</v>
      </c>
      <c r="AJ33" s="101">
        <v>8.9374773750083764E-2</v>
      </c>
      <c r="AK33" s="101">
        <v>44.315029994044117</v>
      </c>
      <c r="AL33" s="101">
        <v>25.333953949912321</v>
      </c>
      <c r="AM33" s="98">
        <v>4.4804877539615164</v>
      </c>
      <c r="AN33" s="101">
        <v>42.648211261039677</v>
      </c>
      <c r="AO33" s="100">
        <v>3.267514630106918</v>
      </c>
      <c r="AP33" s="101">
        <v>2.3915713723122329</v>
      </c>
      <c r="AQ33" s="98">
        <v>1.6939173925009141</v>
      </c>
      <c r="AR33" s="100">
        <v>1.3887311457381879</v>
      </c>
      <c r="AS33" s="101">
        <v>2.558868734684326E-4</v>
      </c>
      <c r="AT33" s="101">
        <v>0</v>
      </c>
      <c r="AU33" s="101">
        <v>0.67555605550141085</v>
      </c>
      <c r="AV33" s="101">
        <v>2.6681427231990491</v>
      </c>
      <c r="AW33" s="101">
        <v>0.52577731203186384</v>
      </c>
      <c r="AX33" s="101">
        <v>6.0527971489079173E-2</v>
      </c>
      <c r="AY33" s="98">
        <v>0.79340160084434697</v>
      </c>
      <c r="AZ33" s="100">
        <v>13.52516907985123</v>
      </c>
      <c r="BA33" s="98"/>
      <c r="BB33" s="102">
        <f t="shared" si="26"/>
        <v>224.45006516820465</v>
      </c>
      <c r="BC33" s="10"/>
      <c r="BD33" s="71">
        <f t="shared" si="19"/>
        <v>37111</v>
      </c>
      <c r="BE33" s="8" t="str">
        <f t="shared" si="19"/>
        <v>Tochten hoge afdeling NOP</v>
      </c>
      <c r="BF33" s="7">
        <f t="shared" si="27"/>
        <v>0.31648210657776232</v>
      </c>
      <c r="BG33" s="7">
        <f t="shared" si="20"/>
        <v>7.6030082192006304E-3</v>
      </c>
      <c r="BH33" s="7">
        <f t="shared" si="20"/>
        <v>0</v>
      </c>
      <c r="BI33" s="7">
        <f t="shared" si="20"/>
        <v>2.5346348390938565E-4</v>
      </c>
      <c r="BJ33" s="7">
        <f t="shared" si="20"/>
        <v>0.133300590186989</v>
      </c>
      <c r="BK33" s="7">
        <f t="shared" si="20"/>
        <v>0.10035379572415902</v>
      </c>
      <c r="BL33" s="7">
        <f t="shared" si="20"/>
        <v>1.2046979316812241E-2</v>
      </c>
      <c r="BM33" s="7">
        <f t="shared" si="20"/>
        <v>0.15004927855436981</v>
      </c>
      <c r="BN33" s="7">
        <f t="shared" si="20"/>
        <v>2.1235208500550513E-2</v>
      </c>
      <c r="BO33" s="7">
        <f t="shared" si="20"/>
        <v>1.7673303200635194E-2</v>
      </c>
      <c r="BP33" s="7">
        <f t="shared" si="20"/>
        <v>9.6258085098852551E-3</v>
      </c>
      <c r="BQ33" s="7">
        <f t="shared" si="20"/>
        <v>1.1406354056351524E-4</v>
      </c>
      <c r="BR33" s="7">
        <f t="shared" si="20"/>
        <v>2.1017288235458237E-8</v>
      </c>
      <c r="BS33" s="7">
        <f t="shared" si="20"/>
        <v>0</v>
      </c>
      <c r="BT33" s="7">
        <f t="shared" si="20"/>
        <v>1.2067735338731106E-3</v>
      </c>
      <c r="BU33" s="7">
        <f t="shared" si="20"/>
        <v>5.4263839850971713E-3</v>
      </c>
      <c r="BV33" s="7">
        <f t="shared" si="20"/>
        <v>2.6818600376262613E-4</v>
      </c>
      <c r="BW33" s="7">
        <f t="shared" si="21"/>
        <v>4.0823154414262766E-4</v>
      </c>
      <c r="BX33" s="7">
        <f t="shared" si="21"/>
        <v>3.6659416091621849E-3</v>
      </c>
      <c r="BY33" s="7">
        <f t="shared" si="21"/>
        <v>0.2202868564918371</v>
      </c>
      <c r="BZ33" s="72">
        <f t="shared" si="11"/>
        <v>1</v>
      </c>
      <c r="CA33" s="261">
        <f>SUMPRODUCT(BF33:BY33,$BF$38:$BY$38)</f>
        <v>0.49865720908238709</v>
      </c>
      <c r="CB33" s="74">
        <f t="shared" si="22"/>
        <v>0</v>
      </c>
    </row>
    <row r="34" spans="1:80" x14ac:dyDescent="0.3">
      <c r="A34" s="91">
        <v>37112</v>
      </c>
      <c r="B34" s="206" t="s">
        <v>96</v>
      </c>
      <c r="C34" s="88">
        <f>(SUMPRODUCT(G34:AA34,$G$38:$AA$38)+SUMPRODUCT(AG34:BA34,$AG$38:$BA$38))/AC34</f>
        <v>0.52841624159515366</v>
      </c>
      <c r="D34" s="178">
        <f t="shared" si="23"/>
        <v>3.6376048450716118E-2</v>
      </c>
      <c r="E34" s="271">
        <v>0.15</v>
      </c>
      <c r="F34" s="94">
        <v>6.8839762269430102E-2</v>
      </c>
      <c r="G34" s="8">
        <v>748.88482506168327</v>
      </c>
      <c r="H34" s="8">
        <v>18.245896837561151</v>
      </c>
      <c r="I34" s="8"/>
      <c r="J34" s="8">
        <v>0.53341645255476378</v>
      </c>
      <c r="K34" s="8">
        <v>239.5065638546169</v>
      </c>
      <c r="L34" s="8">
        <v>317.40112764298811</v>
      </c>
      <c r="M34" s="95">
        <v>183.9810197629767</v>
      </c>
      <c r="N34" s="96">
        <v>5703.4411613348602</v>
      </c>
      <c r="O34" s="71">
        <v>17.514286663615628</v>
      </c>
      <c r="P34" s="8">
        <v>5.3641080750059871</v>
      </c>
      <c r="Q34" s="95">
        <v>26.18650698355945</v>
      </c>
      <c r="R34" s="71">
        <v>6750.838384333334</v>
      </c>
      <c r="S34" s="8">
        <v>0</v>
      </c>
      <c r="T34" s="8"/>
      <c r="U34" s="8">
        <v>58.366149987925503</v>
      </c>
      <c r="V34" s="8">
        <v>211.80211186735531</v>
      </c>
      <c r="W34" s="8">
        <v>0</v>
      </c>
      <c r="X34" s="8">
        <v>177.3232988367543</v>
      </c>
      <c r="Y34" s="95">
        <v>16.08366673124894</v>
      </c>
      <c r="Z34" s="97">
        <v>506.32400332222221</v>
      </c>
      <c r="AA34" s="8"/>
      <c r="AB34" s="98">
        <f t="shared" si="24"/>
        <v>33789.742038975157</v>
      </c>
      <c r="AC34" s="71">
        <f t="shared" si="18"/>
        <v>48771.538566723422</v>
      </c>
      <c r="AD34" s="8">
        <v>9335.3478899770107</v>
      </c>
      <c r="AE34" s="95">
        <f t="shared" si="25"/>
        <v>39436.19067674641</v>
      </c>
      <c r="AF34" s="172" t="s">
        <v>97</v>
      </c>
      <c r="AG34" s="100">
        <v>9257.0223544470064</v>
      </c>
      <c r="AH34" s="101">
        <v>1204.010848762659</v>
      </c>
      <c r="AI34" s="101">
        <v>0</v>
      </c>
      <c r="AJ34" s="101">
        <v>12.758980879560291</v>
      </c>
      <c r="AK34" s="101">
        <v>5726.9478435892797</v>
      </c>
      <c r="AL34" s="101">
        <v>3298.9358166541519</v>
      </c>
      <c r="AM34" s="98">
        <v>555.6901960291375</v>
      </c>
      <c r="AN34" s="101">
        <v>7170.0331339285613</v>
      </c>
      <c r="AO34" s="100">
        <v>602.51882934347987</v>
      </c>
      <c r="AP34" s="101">
        <v>422.65840143945837</v>
      </c>
      <c r="AQ34" s="98">
        <v>289.7293342224558</v>
      </c>
      <c r="AR34" s="100">
        <v>330.58273828915583</v>
      </c>
      <c r="AS34" s="101">
        <v>4.7972826098163647E-2</v>
      </c>
      <c r="AT34" s="101">
        <v>0</v>
      </c>
      <c r="AU34" s="101">
        <v>104.0004703034575</v>
      </c>
      <c r="AV34" s="101">
        <v>411.83169997480502</v>
      </c>
      <c r="AW34" s="101">
        <v>83.464710593814218</v>
      </c>
      <c r="AX34" s="101">
        <v>17.255665402794371</v>
      </c>
      <c r="AY34" s="98">
        <v>131.2462713597657</v>
      </c>
      <c r="AZ34" s="100">
        <v>4171.0067709295163</v>
      </c>
      <c r="BA34" s="98"/>
      <c r="BB34" s="102">
        <f t="shared" si="26"/>
        <v>33789.742038975157</v>
      </c>
      <c r="BC34" s="10"/>
      <c r="BD34" s="71">
        <f t="shared" si="19"/>
        <v>37112</v>
      </c>
      <c r="BE34" s="8" t="str">
        <f t="shared" si="19"/>
        <v>Vaarten NOP</v>
      </c>
      <c r="BF34" s="7">
        <f t="shared" si="27"/>
        <v>0.20515873547478508</v>
      </c>
      <c r="BG34" s="7">
        <f t="shared" si="20"/>
        <v>2.5060860934868267E-2</v>
      </c>
      <c r="BH34" s="7">
        <f t="shared" si="20"/>
        <v>0</v>
      </c>
      <c r="BI34" s="7">
        <f t="shared" si="20"/>
        <v>2.7254414608901415E-4</v>
      </c>
      <c r="BJ34" s="7">
        <f t="shared" si="20"/>
        <v>0.12233475881186939</v>
      </c>
      <c r="BK34" s="7">
        <f t="shared" si="20"/>
        <v>7.4148510598034498E-2</v>
      </c>
      <c r="BL34" s="7">
        <f t="shared" si="20"/>
        <v>1.5166042276484347E-2</v>
      </c>
      <c r="BM34" s="7">
        <f t="shared" si="20"/>
        <v>0.26395464800954482</v>
      </c>
      <c r="BN34" s="7">
        <f t="shared" si="20"/>
        <v>1.2713011199325604E-2</v>
      </c>
      <c r="BO34" s="7">
        <f t="shared" si="20"/>
        <v>8.7760714977013661E-3</v>
      </c>
      <c r="BP34" s="7">
        <f t="shared" si="20"/>
        <v>6.477463096100952E-3</v>
      </c>
      <c r="BQ34" s="7">
        <f t="shared" si="20"/>
        <v>0.14519577054011801</v>
      </c>
      <c r="BR34" s="7">
        <f t="shared" si="20"/>
        <v>9.8362338995176309E-7</v>
      </c>
      <c r="BS34" s="7">
        <f t="shared" si="20"/>
        <v>0</v>
      </c>
      <c r="BT34" s="7">
        <f t="shared" si="20"/>
        <v>3.329126475459705E-3</v>
      </c>
      <c r="BU34" s="7">
        <f t="shared" si="20"/>
        <v>1.2786839008348663E-2</v>
      </c>
      <c r="BV34" s="7">
        <f t="shared" si="20"/>
        <v>1.7113405286492596E-3</v>
      </c>
      <c r="BW34" s="7">
        <f t="shared" si="21"/>
        <v>3.9896006965896482E-3</v>
      </c>
      <c r="BX34" s="7">
        <f t="shared" si="21"/>
        <v>3.0208179282565657E-3</v>
      </c>
      <c r="BY34" s="7">
        <f t="shared" si="21"/>
        <v>9.5902875154384767E-2</v>
      </c>
      <c r="BZ34" s="72">
        <f t="shared" si="11"/>
        <v>0.99999999999999989</v>
      </c>
      <c r="CA34" s="261">
        <f>SUMPRODUCT(BF34:BY34,$BF$38:$BY$38)</f>
        <v>0.52841624159515366</v>
      </c>
      <c r="CB34" s="74">
        <f t="shared" si="22"/>
        <v>0</v>
      </c>
    </row>
    <row r="35" spans="1:80" x14ac:dyDescent="0.3">
      <c r="A35" s="91">
        <v>37113</v>
      </c>
      <c r="B35" s="206" t="s">
        <v>98</v>
      </c>
      <c r="C35" s="88">
        <f t="shared" si="17"/>
        <v>0.712921606175142</v>
      </c>
      <c r="D35" s="178">
        <f t="shared" si="23"/>
        <v>5.705889600267567E-2</v>
      </c>
      <c r="E35" s="271">
        <v>0.1</v>
      </c>
      <c r="F35" s="94">
        <v>8.0035301930038757E-2</v>
      </c>
      <c r="G35" s="8">
        <v>2571.6925261369688</v>
      </c>
      <c r="H35" s="8">
        <v>38.427002578361638</v>
      </c>
      <c r="I35" s="8"/>
      <c r="J35" s="8">
        <v>1.903783978562068</v>
      </c>
      <c r="K35" s="8">
        <v>693.12996804026102</v>
      </c>
      <c r="L35" s="8">
        <v>1183.9487166183701</v>
      </c>
      <c r="M35" s="95">
        <v>312.37306624376481</v>
      </c>
      <c r="N35" s="96">
        <v>4368.4392259601418</v>
      </c>
      <c r="O35" s="71">
        <v>139.09433846333579</v>
      </c>
      <c r="P35" s="8">
        <v>0.34752405548463938</v>
      </c>
      <c r="Q35" s="95">
        <v>71.60521356331914</v>
      </c>
      <c r="R35" s="71">
        <v>877.05028073333324</v>
      </c>
      <c r="S35" s="8">
        <v>0</v>
      </c>
      <c r="T35" s="8"/>
      <c r="U35" s="8">
        <v>24.795301595385169</v>
      </c>
      <c r="V35" s="8">
        <v>253.02895929595269</v>
      </c>
      <c r="W35" s="8">
        <v>0</v>
      </c>
      <c r="X35" s="8">
        <v>118.05284242249159</v>
      </c>
      <c r="Y35" s="95">
        <v>31.08669355763228</v>
      </c>
      <c r="Z35" s="97">
        <v>729.13816761542239</v>
      </c>
      <c r="AA35" s="8"/>
      <c r="AB35" s="98">
        <f t="shared" si="24"/>
        <v>22100.092168584557</v>
      </c>
      <c r="AC35" s="71">
        <f t="shared" si="18"/>
        <v>33514.205779443342</v>
      </c>
      <c r="AD35" s="8">
        <v>8287.5770803837768</v>
      </c>
      <c r="AE35" s="95">
        <f t="shared" si="25"/>
        <v>25226.628699059565</v>
      </c>
      <c r="AF35" s="172" t="s">
        <v>99</v>
      </c>
      <c r="AG35" s="100">
        <v>2399.099977298612</v>
      </c>
      <c r="AH35" s="101">
        <v>123.1379978220462</v>
      </c>
      <c r="AI35" s="101">
        <v>0</v>
      </c>
      <c r="AJ35" s="101">
        <v>4.2547967739783479</v>
      </c>
      <c r="AK35" s="101">
        <v>1838.5483400838939</v>
      </c>
      <c r="AL35" s="101">
        <v>1202.423572174733</v>
      </c>
      <c r="AM35" s="98">
        <v>2068.986500778974</v>
      </c>
      <c r="AN35" s="101">
        <v>7992.7559084831482</v>
      </c>
      <c r="AO35" s="100">
        <v>379.5861369743505</v>
      </c>
      <c r="AP35" s="101">
        <v>3.5217466101446409</v>
      </c>
      <c r="AQ35" s="98">
        <v>113.09130422432909</v>
      </c>
      <c r="AR35" s="100">
        <v>0</v>
      </c>
      <c r="AS35" s="101">
        <v>0</v>
      </c>
      <c r="AT35" s="101">
        <v>0</v>
      </c>
      <c r="AU35" s="101">
        <v>10.078606568459749</v>
      </c>
      <c r="AV35" s="101">
        <v>5227.4027414404118</v>
      </c>
      <c r="AW35" s="101">
        <v>567.07843034688858</v>
      </c>
      <c r="AX35" s="101">
        <v>15.192006746593981</v>
      </c>
      <c r="AY35" s="98">
        <v>59.849860894657702</v>
      </c>
      <c r="AZ35" s="100">
        <v>95.084241363333334</v>
      </c>
      <c r="BA35" s="98"/>
      <c r="BB35" s="102">
        <f t="shared" si="26"/>
        <v>22100.092168584557</v>
      </c>
      <c r="BC35" s="10"/>
      <c r="BD35" s="71">
        <f t="shared" si="19"/>
        <v>37113</v>
      </c>
      <c r="BE35" s="8" t="str">
        <f t="shared" si="19"/>
        <v>Vaarten hoge afdeling ZOF</v>
      </c>
      <c r="BF35" s="7">
        <f t="shared" si="27"/>
        <v>0.14831897065227556</v>
      </c>
      <c r="BG35" s="7">
        <f t="shared" si="20"/>
        <v>4.8207915611566477E-3</v>
      </c>
      <c r="BH35" s="7">
        <f t="shared" si="20"/>
        <v>0</v>
      </c>
      <c r="BI35" s="7">
        <f t="shared" si="20"/>
        <v>1.8376030728789981E-4</v>
      </c>
      <c r="BJ35" s="7">
        <f t="shared" si="20"/>
        <v>7.5540453644794822E-2</v>
      </c>
      <c r="BK35" s="7">
        <f t="shared" si="20"/>
        <v>7.1204799078271333E-2</v>
      </c>
      <c r="BL35" s="7">
        <f t="shared" si="20"/>
        <v>7.1055229018239088E-2</v>
      </c>
      <c r="BM35" s="7">
        <f t="shared" si="20"/>
        <v>0.36883449411847002</v>
      </c>
      <c r="BN35" s="7">
        <f t="shared" si="20"/>
        <v>1.5476436435674989E-2</v>
      </c>
      <c r="BO35" s="7">
        <f t="shared" si="20"/>
        <v>1.1545165924840686E-4</v>
      </c>
      <c r="BP35" s="7">
        <f t="shared" si="20"/>
        <v>5.5109919358714392E-3</v>
      </c>
      <c r="BQ35" s="7">
        <f t="shared" si="20"/>
        <v>2.6169508133511876E-2</v>
      </c>
      <c r="BR35" s="7">
        <f t="shared" si="20"/>
        <v>0</v>
      </c>
      <c r="BS35" s="7">
        <f t="shared" si="20"/>
        <v>0</v>
      </c>
      <c r="BT35" s="7">
        <f t="shared" si="20"/>
        <v>1.0405709266497246E-3</v>
      </c>
      <c r="BU35" s="7">
        <f t="shared" si="20"/>
        <v>0.16352563258705968</v>
      </c>
      <c r="BV35" s="7">
        <f t="shared" si="20"/>
        <v>1.6920539131341082E-2</v>
      </c>
      <c r="BW35" s="7">
        <f t="shared" si="21"/>
        <v>3.9757722455357773E-3</v>
      </c>
      <c r="BX35" s="7">
        <f t="shared" si="21"/>
        <v>2.7133733990518097E-3</v>
      </c>
      <c r="BY35" s="7">
        <f t="shared" si="21"/>
        <v>2.4593225165559802E-2</v>
      </c>
      <c r="BZ35" s="72">
        <f t="shared" si="11"/>
        <v>1</v>
      </c>
      <c r="CA35" s="261">
        <f t="shared" ref="CA35:CA36" si="29">SUMPRODUCT(BF35:BY35,$BF$37:$BY$37)</f>
        <v>0.71292160617514189</v>
      </c>
      <c r="CB35" s="74">
        <f t="shared" si="22"/>
        <v>0</v>
      </c>
    </row>
    <row r="36" spans="1:80" x14ac:dyDescent="0.3">
      <c r="A36" s="105">
        <v>37114</v>
      </c>
      <c r="B36" s="245" t="s">
        <v>100</v>
      </c>
      <c r="C36" s="107">
        <f t="shared" si="17"/>
        <v>0.56910316798065264</v>
      </c>
      <c r="D36" s="181">
        <f t="shared" si="23"/>
        <v>7.1610785842622968E-2</v>
      </c>
      <c r="E36" s="272">
        <v>0.15</v>
      </c>
      <c r="F36" s="109">
        <v>0.12583093869731798</v>
      </c>
      <c r="G36" s="110">
        <v>1538.6339658687889</v>
      </c>
      <c r="H36" s="110">
        <v>37.39478008153295</v>
      </c>
      <c r="I36" s="110"/>
      <c r="J36" s="110">
        <v>1.75164091144032</v>
      </c>
      <c r="K36" s="110">
        <v>301.89147115013049</v>
      </c>
      <c r="L36" s="110">
        <v>705.54283569309223</v>
      </c>
      <c r="M36" s="111">
        <v>946.22132128441592</v>
      </c>
      <c r="N36" s="112">
        <v>9901.8216974635907</v>
      </c>
      <c r="O36" s="113">
        <v>55.363166064200293</v>
      </c>
      <c r="P36" s="110">
        <v>315.45283039092288</v>
      </c>
      <c r="Q36" s="111">
        <v>49.472468402377288</v>
      </c>
      <c r="R36" s="113">
        <v>13195.96217701667</v>
      </c>
      <c r="S36" s="110">
        <v>0</v>
      </c>
      <c r="T36" s="110"/>
      <c r="U36" s="110">
        <v>100.51980936020119</v>
      </c>
      <c r="V36" s="110">
        <v>2624.3683262544018</v>
      </c>
      <c r="W36" s="110">
        <v>79.390499636420472</v>
      </c>
      <c r="X36" s="110">
        <v>166.95731986842719</v>
      </c>
      <c r="Y36" s="111">
        <v>48.671157275211328</v>
      </c>
      <c r="Z36" s="266">
        <v>265.87367056944453</v>
      </c>
      <c r="AA36" s="110"/>
      <c r="AB36" s="115">
        <f t="shared" si="24"/>
        <v>34564.540269398662</v>
      </c>
      <c r="AC36" s="113">
        <f t="shared" si="18"/>
        <v>64899.829406689925</v>
      </c>
      <c r="AD36" s="110">
        <v>13030.464637076109</v>
      </c>
      <c r="AE36" s="111">
        <f t="shared" si="25"/>
        <v>51869.364769613814</v>
      </c>
      <c r="AF36" s="182" t="s">
        <v>101</v>
      </c>
      <c r="AG36" s="117">
        <v>7861.8616553595357</v>
      </c>
      <c r="AH36" s="118">
        <v>127.9606406036071</v>
      </c>
      <c r="AI36" s="118">
        <v>0</v>
      </c>
      <c r="AJ36" s="118">
        <v>7.5811437090965539</v>
      </c>
      <c r="AK36" s="118">
        <v>2321.61147737192</v>
      </c>
      <c r="AL36" s="118">
        <v>3371.910103824951</v>
      </c>
      <c r="AM36" s="115">
        <v>1535.994774876084</v>
      </c>
      <c r="AN36" s="118">
        <v>10823.93793179101</v>
      </c>
      <c r="AO36" s="117">
        <v>479.85820846037501</v>
      </c>
      <c r="AP36" s="118">
        <v>14.893659440727991</v>
      </c>
      <c r="AQ36" s="115">
        <v>259.75054435471941</v>
      </c>
      <c r="AR36" s="117">
        <v>119.8331466243241</v>
      </c>
      <c r="AS36" s="118">
        <v>0</v>
      </c>
      <c r="AT36" s="118">
        <v>0</v>
      </c>
      <c r="AU36" s="118">
        <v>28.537828980272511</v>
      </c>
      <c r="AV36" s="118">
        <v>5175.7444063700896</v>
      </c>
      <c r="AW36" s="118">
        <v>2049.2147171271981</v>
      </c>
      <c r="AX36" s="118">
        <v>17.824444360655299</v>
      </c>
      <c r="AY36" s="115">
        <v>172.20756263106401</v>
      </c>
      <c r="AZ36" s="117">
        <v>195.8180235130381</v>
      </c>
      <c r="BA36" s="115"/>
      <c r="BB36" s="119">
        <f t="shared" si="26"/>
        <v>34564.540269398662</v>
      </c>
      <c r="BC36" s="10"/>
      <c r="BD36" s="113">
        <f t="shared" si="19"/>
        <v>37114</v>
      </c>
      <c r="BE36" s="110" t="str">
        <f t="shared" si="19"/>
        <v>Vaarten Lage afdeling ZOF</v>
      </c>
      <c r="BF36" s="120">
        <f t="shared" si="27"/>
        <v>0.14484623006203642</v>
      </c>
      <c r="BG36" s="120">
        <f t="shared" si="20"/>
        <v>2.5478560143656569E-3</v>
      </c>
      <c r="BH36" s="120">
        <f t="shared" si="20"/>
        <v>0</v>
      </c>
      <c r="BI36" s="120">
        <f t="shared" si="20"/>
        <v>1.4380291452006255E-4</v>
      </c>
      <c r="BJ36" s="120">
        <f t="shared" si="20"/>
        <v>4.0423880501781688E-2</v>
      </c>
      <c r="BK36" s="120">
        <f t="shared" si="20"/>
        <v>6.2826866831451736E-2</v>
      </c>
      <c r="BL36" s="120">
        <f t="shared" si="20"/>
        <v>3.8246881676774196E-2</v>
      </c>
      <c r="BM36" s="120">
        <f t="shared" si="20"/>
        <v>0.31934998625925776</v>
      </c>
      <c r="BN36" s="120">
        <f t="shared" si="20"/>
        <v>8.2468841508141818E-3</v>
      </c>
      <c r="BO36" s="120">
        <f t="shared" si="20"/>
        <v>5.0900979686950999E-3</v>
      </c>
      <c r="BP36" s="120">
        <f t="shared" si="20"/>
        <v>4.7646198084647312E-3</v>
      </c>
      <c r="BQ36" s="120">
        <f t="shared" si="20"/>
        <v>0.20517458127969118</v>
      </c>
      <c r="BR36" s="120">
        <f t="shared" si="20"/>
        <v>0</v>
      </c>
      <c r="BS36" s="120">
        <f t="shared" si="20"/>
        <v>0</v>
      </c>
      <c r="BT36" s="120">
        <f t="shared" si="20"/>
        <v>1.9885666806879212E-3</v>
      </c>
      <c r="BU36" s="120">
        <f t="shared" si="20"/>
        <v>0.12018695278450839</v>
      </c>
      <c r="BV36" s="120">
        <f t="shared" si="20"/>
        <v>3.2798317595334081E-2</v>
      </c>
      <c r="BW36" s="120">
        <f t="shared" si="21"/>
        <v>2.8471841284999594E-3</v>
      </c>
      <c r="BX36" s="120">
        <f t="shared" si="21"/>
        <v>3.4033790523878785E-3</v>
      </c>
      <c r="BY36" s="120">
        <f t="shared" si="21"/>
        <v>7.1139122907292428E-3</v>
      </c>
      <c r="BZ36" s="121">
        <f t="shared" si="11"/>
        <v>1.0000000000000004</v>
      </c>
      <c r="CA36" s="261">
        <f t="shared" si="29"/>
        <v>0.56910316798065275</v>
      </c>
      <c r="CB36" s="74">
        <f t="shared" si="22"/>
        <v>0</v>
      </c>
    </row>
    <row r="37" spans="1:80" x14ac:dyDescent="0.3">
      <c r="A37" s="5"/>
      <c r="B37" t="s">
        <v>117</v>
      </c>
      <c r="G37" s="187">
        <v>0</v>
      </c>
      <c r="H37" s="187">
        <v>0</v>
      </c>
      <c r="I37" s="187">
        <v>1</v>
      </c>
      <c r="J37" s="187">
        <v>1</v>
      </c>
      <c r="K37" s="187">
        <v>1</v>
      </c>
      <c r="L37" s="187">
        <v>1</v>
      </c>
      <c r="M37" s="187">
        <v>1</v>
      </c>
      <c r="N37" s="187">
        <v>1</v>
      </c>
      <c r="O37" s="187">
        <v>0</v>
      </c>
      <c r="P37" s="187">
        <v>0</v>
      </c>
      <c r="Q37" s="187">
        <v>0</v>
      </c>
      <c r="R37" s="187">
        <v>0</v>
      </c>
      <c r="S37" s="187">
        <v>0</v>
      </c>
      <c r="T37" s="187">
        <v>1</v>
      </c>
      <c r="U37" s="187">
        <v>0</v>
      </c>
      <c r="V37" s="187">
        <v>0.6</v>
      </c>
      <c r="W37" s="187">
        <v>1</v>
      </c>
      <c r="X37" s="187">
        <v>0</v>
      </c>
      <c r="Y37" s="187">
        <v>0</v>
      </c>
      <c r="Z37" s="187">
        <v>0.45</v>
      </c>
      <c r="AA37" s="187"/>
      <c r="AB37" s="187"/>
      <c r="AC37" s="187"/>
      <c r="AD37" s="273"/>
      <c r="AE37" s="187"/>
      <c r="AF37" s="187"/>
      <c r="AG37" s="187">
        <v>0</v>
      </c>
      <c r="AH37" s="187">
        <v>0</v>
      </c>
      <c r="AI37" s="187">
        <v>1</v>
      </c>
      <c r="AJ37" s="187">
        <v>1</v>
      </c>
      <c r="AK37" s="187">
        <v>1</v>
      </c>
      <c r="AL37" s="187">
        <v>1</v>
      </c>
      <c r="AM37" s="187">
        <v>1</v>
      </c>
      <c r="AN37" s="187">
        <v>1</v>
      </c>
      <c r="AO37" s="187">
        <v>0</v>
      </c>
      <c r="AP37" s="187">
        <v>0</v>
      </c>
      <c r="AQ37" s="187">
        <v>0</v>
      </c>
      <c r="AR37" s="187">
        <v>0</v>
      </c>
      <c r="AS37" s="187">
        <v>0</v>
      </c>
      <c r="AT37" s="187">
        <v>1</v>
      </c>
      <c r="AU37" s="187">
        <v>0</v>
      </c>
      <c r="AV37" s="187">
        <v>0.6</v>
      </c>
      <c r="AW37" s="187">
        <v>1</v>
      </c>
      <c r="AX37" s="187">
        <v>0</v>
      </c>
      <c r="AY37" s="187">
        <v>0</v>
      </c>
      <c r="AZ37" s="187">
        <v>0.45</v>
      </c>
      <c r="BA37" s="187">
        <v>0</v>
      </c>
      <c r="BB37" s="5"/>
      <c r="BC37" s="5"/>
      <c r="BD37" s="8"/>
      <c r="BE37" s="8"/>
      <c r="BF37" s="187">
        <f>G37</f>
        <v>0</v>
      </c>
      <c r="BG37" s="187">
        <f t="shared" ref="BG37:BV38" si="30">H37</f>
        <v>0</v>
      </c>
      <c r="BH37" s="187">
        <f t="shared" si="30"/>
        <v>1</v>
      </c>
      <c r="BI37" s="187">
        <f t="shared" si="30"/>
        <v>1</v>
      </c>
      <c r="BJ37" s="187">
        <f t="shared" si="30"/>
        <v>1</v>
      </c>
      <c r="BK37" s="187">
        <f t="shared" si="30"/>
        <v>1</v>
      </c>
      <c r="BL37" s="187">
        <f t="shared" si="30"/>
        <v>1</v>
      </c>
      <c r="BM37" s="187">
        <f t="shared" si="30"/>
        <v>1</v>
      </c>
      <c r="BN37" s="187">
        <f t="shared" si="30"/>
        <v>0</v>
      </c>
      <c r="BO37" s="187">
        <f t="shared" si="30"/>
        <v>0</v>
      </c>
      <c r="BP37" s="187">
        <f t="shared" si="30"/>
        <v>0</v>
      </c>
      <c r="BQ37" s="187">
        <f t="shared" si="30"/>
        <v>0</v>
      </c>
      <c r="BR37" s="187">
        <f t="shared" si="30"/>
        <v>0</v>
      </c>
      <c r="BS37" s="187">
        <f t="shared" si="30"/>
        <v>1</v>
      </c>
      <c r="BT37" s="187">
        <f t="shared" si="30"/>
        <v>0</v>
      </c>
      <c r="BU37" s="187">
        <f t="shared" si="30"/>
        <v>0.6</v>
      </c>
      <c r="BV37" s="187">
        <f t="shared" si="30"/>
        <v>1</v>
      </c>
      <c r="BW37" s="187">
        <f t="shared" ref="BW37:BY38" si="31">X37</f>
        <v>0</v>
      </c>
      <c r="BX37" s="187">
        <f t="shared" si="31"/>
        <v>0</v>
      </c>
      <c r="BY37" s="187">
        <f t="shared" si="31"/>
        <v>0.45</v>
      </c>
    </row>
    <row r="38" spans="1:80" x14ac:dyDescent="0.3">
      <c r="A38" s="5"/>
      <c r="G38" s="187">
        <v>0</v>
      </c>
      <c r="H38" s="187">
        <v>0</v>
      </c>
      <c r="I38" s="187">
        <v>1</v>
      </c>
      <c r="J38" s="187">
        <v>1</v>
      </c>
      <c r="K38" s="187">
        <v>1</v>
      </c>
      <c r="L38" s="187">
        <v>1</v>
      </c>
      <c r="M38" s="187">
        <v>1</v>
      </c>
      <c r="N38" s="187">
        <v>1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1</v>
      </c>
      <c r="U38" s="187">
        <v>0</v>
      </c>
      <c r="V38" s="187">
        <v>0.6</v>
      </c>
      <c r="W38" s="187">
        <v>1</v>
      </c>
      <c r="X38" s="187">
        <v>0</v>
      </c>
      <c r="Y38" s="187">
        <v>0</v>
      </c>
      <c r="Z38" s="187">
        <v>0.45</v>
      </c>
      <c r="AA38" s="187"/>
      <c r="AB38" s="187"/>
      <c r="AC38" s="187"/>
      <c r="AD38" s="273"/>
      <c r="AE38" s="187"/>
      <c r="AF38" s="187"/>
      <c r="AG38" s="187">
        <v>0</v>
      </c>
      <c r="AH38" s="187">
        <v>0</v>
      </c>
      <c r="AI38" s="187">
        <v>1</v>
      </c>
      <c r="AJ38" s="187">
        <v>1</v>
      </c>
      <c r="AK38" s="187">
        <v>1</v>
      </c>
      <c r="AL38" s="187">
        <v>1</v>
      </c>
      <c r="AM38" s="187">
        <v>1</v>
      </c>
      <c r="AN38" s="187">
        <v>1</v>
      </c>
      <c r="AO38" s="187">
        <v>0</v>
      </c>
      <c r="AP38" s="187">
        <v>0</v>
      </c>
      <c r="AQ38" s="187">
        <v>0</v>
      </c>
      <c r="AR38" s="187">
        <v>0</v>
      </c>
      <c r="AS38" s="187">
        <v>0</v>
      </c>
      <c r="AT38" s="187">
        <v>1</v>
      </c>
      <c r="AU38" s="187">
        <v>0</v>
      </c>
      <c r="AV38" s="187">
        <v>0.6</v>
      </c>
      <c r="AW38" s="187">
        <v>1</v>
      </c>
      <c r="AX38" s="187">
        <v>0</v>
      </c>
      <c r="AY38" s="187">
        <v>0</v>
      </c>
      <c r="AZ38" s="187">
        <v>0.45</v>
      </c>
      <c r="BA38" s="187">
        <v>0</v>
      </c>
      <c r="BB38" s="5"/>
      <c r="BC38" s="5"/>
      <c r="BD38" s="5"/>
      <c r="BE38" s="5"/>
      <c r="BF38" s="187">
        <f>G38</f>
        <v>0</v>
      </c>
      <c r="BG38" s="187">
        <f t="shared" si="30"/>
        <v>0</v>
      </c>
      <c r="BH38" s="187">
        <f t="shared" si="30"/>
        <v>1</v>
      </c>
      <c r="BI38" s="187">
        <f t="shared" si="30"/>
        <v>1</v>
      </c>
      <c r="BJ38" s="187">
        <f t="shared" si="30"/>
        <v>1</v>
      </c>
      <c r="BK38" s="187">
        <f t="shared" si="30"/>
        <v>1</v>
      </c>
      <c r="BL38" s="187">
        <f t="shared" si="30"/>
        <v>1</v>
      </c>
      <c r="BM38" s="187">
        <f t="shared" si="30"/>
        <v>1</v>
      </c>
      <c r="BN38" s="187">
        <f t="shared" si="30"/>
        <v>0</v>
      </c>
      <c r="BO38" s="187">
        <f t="shared" si="30"/>
        <v>0</v>
      </c>
      <c r="BP38" s="187">
        <f t="shared" si="30"/>
        <v>0</v>
      </c>
      <c r="BQ38" s="187">
        <f t="shared" si="30"/>
        <v>0</v>
      </c>
      <c r="BR38" s="187">
        <f t="shared" si="30"/>
        <v>0</v>
      </c>
      <c r="BS38" s="187">
        <f t="shared" si="30"/>
        <v>1</v>
      </c>
      <c r="BT38" s="187">
        <f t="shared" si="30"/>
        <v>0</v>
      </c>
      <c r="BU38" s="187">
        <f t="shared" si="30"/>
        <v>0.6</v>
      </c>
      <c r="BV38" s="187">
        <f t="shared" si="30"/>
        <v>1</v>
      </c>
      <c r="BW38" s="187">
        <f t="shared" si="31"/>
        <v>0</v>
      </c>
      <c r="BX38" s="187">
        <f t="shared" si="31"/>
        <v>0</v>
      </c>
      <c r="BY38" s="187">
        <f t="shared" si="31"/>
        <v>0.45</v>
      </c>
    </row>
    <row r="39" spans="1:80" x14ac:dyDescent="0.3">
      <c r="A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80" ht="15" thickBot="1" x14ac:dyDescent="0.35">
      <c r="A40" s="5"/>
      <c r="G40" s="5"/>
      <c r="H40" s="5"/>
      <c r="I40" s="5"/>
      <c r="J40" s="5"/>
      <c r="K40" s="4"/>
      <c r="L40" s="274"/>
      <c r="M40" s="4"/>
      <c r="N40" s="4"/>
      <c r="O40" s="309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80" x14ac:dyDescent="0.3">
      <c r="A41" s="57"/>
      <c r="B41" s="188"/>
      <c r="C41" s="188"/>
      <c r="D41" s="188"/>
      <c r="E41" s="188"/>
      <c r="F41" s="188"/>
      <c r="G41" s="314" t="s">
        <v>118</v>
      </c>
      <c r="H41" s="315"/>
      <c r="I41" s="315"/>
      <c r="J41" s="316"/>
      <c r="K41" s="317" t="s">
        <v>119</v>
      </c>
      <c r="L41" s="318"/>
      <c r="M41" s="318"/>
      <c r="N41" s="318"/>
      <c r="O41" s="318"/>
      <c r="P41" s="318"/>
      <c r="Q41" s="318"/>
      <c r="R41" s="318"/>
      <c r="S41" s="319"/>
      <c r="T41" s="314" t="s">
        <v>120</v>
      </c>
      <c r="U41" s="316"/>
      <c r="V41" s="357" t="s">
        <v>121</v>
      </c>
      <c r="W41" s="358"/>
      <c r="BD41" s="324" t="s">
        <v>182</v>
      </c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6"/>
    </row>
    <row r="42" spans="1:80" ht="57.6" x14ac:dyDescent="0.3">
      <c r="A42" s="17" t="s">
        <v>19</v>
      </c>
      <c r="B42" s="190" t="s">
        <v>20</v>
      </c>
      <c r="C42" s="191" t="s">
        <v>123</v>
      </c>
      <c r="D42" s="192"/>
      <c r="E42" s="192"/>
      <c r="F42" s="275" t="s">
        <v>124</v>
      </c>
      <c r="G42" s="194" t="s">
        <v>125</v>
      </c>
      <c r="H42" s="195" t="s">
        <v>126</v>
      </c>
      <c r="I42" s="276" t="s">
        <v>183</v>
      </c>
      <c r="J42" s="277" t="s">
        <v>184</v>
      </c>
      <c r="K42" s="278" t="s">
        <v>185</v>
      </c>
      <c r="L42" s="279" t="s">
        <v>186</v>
      </c>
      <c r="M42" s="279" t="s">
        <v>187</v>
      </c>
      <c r="N42" s="279" t="s">
        <v>188</v>
      </c>
      <c r="O42" s="199" t="s">
        <v>133</v>
      </c>
      <c r="P42" s="279" t="s">
        <v>189</v>
      </c>
      <c r="Q42" s="279" t="s">
        <v>190</v>
      </c>
      <c r="R42" s="279" t="s">
        <v>191</v>
      </c>
      <c r="S42" s="200" t="s">
        <v>192</v>
      </c>
      <c r="T42" s="22" t="s">
        <v>138</v>
      </c>
      <c r="U42" s="201" t="s">
        <v>139</v>
      </c>
      <c r="V42" s="202" t="s">
        <v>140</v>
      </c>
      <c r="W42" s="203" t="s">
        <v>141</v>
      </c>
      <c r="BD42" s="351" t="s">
        <v>142</v>
      </c>
      <c r="BE42" s="352"/>
      <c r="BF42" s="352"/>
      <c r="BG42" s="280" t="s">
        <v>143</v>
      </c>
      <c r="BH42" s="280" t="s">
        <v>27</v>
      </c>
      <c r="BI42" s="280" t="s">
        <v>28</v>
      </c>
      <c r="BJ42" s="280" t="s">
        <v>29</v>
      </c>
      <c r="BK42" s="280" t="s">
        <v>144</v>
      </c>
      <c r="BL42" s="280" t="s">
        <v>145</v>
      </c>
      <c r="BM42" s="280" t="s">
        <v>146</v>
      </c>
      <c r="BN42" s="280" t="s">
        <v>147</v>
      </c>
      <c r="BO42" s="280" t="s">
        <v>36</v>
      </c>
      <c r="BP42" s="280" t="s">
        <v>37</v>
      </c>
      <c r="BQ42" s="280" t="s">
        <v>148</v>
      </c>
      <c r="BR42" s="280" t="s">
        <v>149</v>
      </c>
      <c r="BS42" s="280" t="s">
        <v>44</v>
      </c>
      <c r="BT42" s="281" t="s">
        <v>150</v>
      </c>
    </row>
    <row r="43" spans="1:80" x14ac:dyDescent="0.3">
      <c r="A43" s="91">
        <v>37101</v>
      </c>
      <c r="B43" s="206" t="s">
        <v>75</v>
      </c>
      <c r="C43" s="207" t="s">
        <v>151</v>
      </c>
      <c r="D43" s="208"/>
      <c r="E43" s="208"/>
      <c r="F43" s="209">
        <v>48560579</v>
      </c>
      <c r="G43" s="221">
        <v>2</v>
      </c>
      <c r="H43" s="211">
        <v>0.15</v>
      </c>
      <c r="I43" s="282">
        <v>1.8997161016949153</v>
      </c>
      <c r="J43" s="283">
        <v>0.13578531073446326</v>
      </c>
      <c r="K43" s="212">
        <v>10.719150580227133</v>
      </c>
      <c r="L43" s="284">
        <v>16.50445224935029</v>
      </c>
      <c r="M43" s="213">
        <v>0</v>
      </c>
      <c r="N43" s="213">
        <v>9.281002101041376E-2</v>
      </c>
      <c r="P43" s="213">
        <v>0</v>
      </c>
      <c r="Q43" s="213"/>
      <c r="R43" s="213">
        <f t="shared" ref="R43:R56" si="32">SUM(K43:Q43)</f>
        <v>27.316412850587838</v>
      </c>
      <c r="S43" s="240"/>
      <c r="T43" s="214">
        <f t="shared" ref="T43:T56" si="33">AE5*1000/(R43*1000000)</f>
        <v>3.584885803108282</v>
      </c>
      <c r="U43" s="215">
        <f t="shared" ref="U43:U56" si="34">AE23*1000/(R43*1000000)</f>
        <v>0.1321997049313951</v>
      </c>
      <c r="V43" s="216"/>
      <c r="W43" s="215"/>
      <c r="Y43" s="90"/>
      <c r="BD43" s="217">
        <f t="shared" ref="BD43:BE51" si="35">BD5</f>
        <v>37101</v>
      </c>
      <c r="BE43" t="str">
        <f t="shared" si="35"/>
        <v>Tochten ABC1</v>
      </c>
      <c r="BF43" s="204"/>
      <c r="BG43" s="90">
        <f>BF5+BG5</f>
        <v>7.0580375814716212E-2</v>
      </c>
      <c r="BH43" s="90">
        <f t="shared" ref="BH43:BM51" si="36">BH5</f>
        <v>7.1234901140932432E-3</v>
      </c>
      <c r="BI43" s="90">
        <f t="shared" si="36"/>
        <v>1.3858870834069253E-4</v>
      </c>
      <c r="BJ43" s="90">
        <f t="shared" si="36"/>
        <v>5.5331676925551999E-2</v>
      </c>
      <c r="BK43" s="90">
        <f t="shared" si="36"/>
        <v>2.3648233057114876E-2</v>
      </c>
      <c r="BL43" s="90">
        <f t="shared" si="36"/>
        <v>0.14992184879157108</v>
      </c>
      <c r="BM43" s="90">
        <f t="shared" si="36"/>
        <v>0.62725932715149435</v>
      </c>
      <c r="BN43" s="90">
        <f>BN5+BO5+BP5</f>
        <v>1.2209150837829204E-2</v>
      </c>
      <c r="BO43" s="90">
        <f t="shared" ref="BO43:BQ51" si="37">BQ5</f>
        <v>0</v>
      </c>
      <c r="BP43" s="90">
        <f t="shared" si="37"/>
        <v>0</v>
      </c>
      <c r="BQ43" s="90">
        <f t="shared" si="37"/>
        <v>4.3800662465765791E-2</v>
      </c>
      <c r="BR43" s="90">
        <f t="shared" ref="BR43:BR51" si="38">BU5</f>
        <v>8.5568148702282118E-3</v>
      </c>
      <c r="BS43" s="90">
        <f t="shared" ref="BS43:BS51" si="39">BY5</f>
        <v>0</v>
      </c>
      <c r="BT43" s="218">
        <f t="shared" ref="BT43:BT51" si="40">BT5+BV5+BW5+BX5</f>
        <v>1.4298312632941696E-3</v>
      </c>
      <c r="BU43" s="90">
        <f>SUM(BG43:BT43)</f>
        <v>0.99999999999999989</v>
      </c>
    </row>
    <row r="44" spans="1:80" x14ac:dyDescent="0.3">
      <c r="A44" s="91">
        <v>37102</v>
      </c>
      <c r="B44" s="206" t="s">
        <v>77</v>
      </c>
      <c r="C44" s="207" t="s">
        <v>152</v>
      </c>
      <c r="D44" s="208"/>
      <c r="E44" s="208"/>
      <c r="F44" s="209">
        <v>104548911</v>
      </c>
      <c r="G44" s="221">
        <v>2.4</v>
      </c>
      <c r="H44" s="211">
        <v>0.15</v>
      </c>
      <c r="I44" s="282">
        <v>3.1910984848484851</v>
      </c>
      <c r="J44" s="283">
        <v>8.9709595959595947E-2</v>
      </c>
      <c r="K44" s="219">
        <v>30.865890277806002</v>
      </c>
      <c r="L44" s="220">
        <v>30.393231977798262</v>
      </c>
      <c r="M44" s="220">
        <v>0</v>
      </c>
      <c r="N44" s="220">
        <v>0.29485728534711392</v>
      </c>
      <c r="P44" s="220">
        <v>0</v>
      </c>
      <c r="Q44" s="220">
        <v>27.316412850587838</v>
      </c>
      <c r="R44" s="220">
        <f t="shared" si="32"/>
        <v>88.870392391539212</v>
      </c>
      <c r="S44" s="240"/>
      <c r="T44" s="210">
        <f t="shared" si="33"/>
        <v>5.19921015237398</v>
      </c>
      <c r="U44" s="215">
        <f t="shared" si="34"/>
        <v>0.12189591165015032</v>
      </c>
      <c r="V44" s="221"/>
      <c r="W44" s="215"/>
      <c r="Y44" s="90"/>
      <c r="BD44" s="217">
        <f t="shared" si="35"/>
        <v>37102</v>
      </c>
      <c r="BE44" t="str">
        <f t="shared" si="35"/>
        <v>Tochten ABC2</v>
      </c>
      <c r="BF44" s="204"/>
      <c r="BG44" s="90">
        <f>BF6+BG6</f>
        <v>0.12186210602256406</v>
      </c>
      <c r="BH44" s="90">
        <f t="shared" si="36"/>
        <v>2.8140591570909281E-2</v>
      </c>
      <c r="BI44" s="90">
        <f t="shared" si="36"/>
        <v>1.8179770769873903E-4</v>
      </c>
      <c r="BJ44" s="90">
        <f t="shared" si="36"/>
        <v>9.9426001621722229E-2</v>
      </c>
      <c r="BK44" s="90">
        <f t="shared" si="36"/>
        <v>6.9416973242315522E-2</v>
      </c>
      <c r="BL44" s="90">
        <f t="shared" si="36"/>
        <v>4.9568611385741548E-2</v>
      </c>
      <c r="BM44" s="90">
        <f t="shared" si="36"/>
        <v>0.57820529303322821</v>
      </c>
      <c r="BN44" s="90">
        <f>BN6+BO6+BP6</f>
        <v>1.006396393638094E-2</v>
      </c>
      <c r="BO44" s="90">
        <f t="shared" si="37"/>
        <v>0</v>
      </c>
      <c r="BP44" s="90">
        <f t="shared" si="37"/>
        <v>0</v>
      </c>
      <c r="BQ44" s="90">
        <f t="shared" si="37"/>
        <v>3.5503998724594303E-2</v>
      </c>
      <c r="BR44" s="90">
        <f t="shared" si="38"/>
        <v>6.4544811353035312E-3</v>
      </c>
      <c r="BS44" s="90">
        <f t="shared" si="39"/>
        <v>0</v>
      </c>
      <c r="BT44" s="218">
        <f t="shared" si="40"/>
        <v>1.1761816195415119E-3</v>
      </c>
      <c r="BU44" s="90">
        <f>SUM(BG44:BT44)</f>
        <v>0.99999999999999989</v>
      </c>
    </row>
    <row r="45" spans="1:80" x14ac:dyDescent="0.3">
      <c r="A45" s="91">
        <v>37103</v>
      </c>
      <c r="B45" s="206" t="s">
        <v>79</v>
      </c>
      <c r="C45" s="207" t="s">
        <v>153</v>
      </c>
      <c r="D45" s="208"/>
      <c r="E45" s="208"/>
      <c r="F45" s="209">
        <v>76103528</v>
      </c>
      <c r="G45" s="221">
        <v>4</v>
      </c>
      <c r="H45" s="211">
        <v>0.3</v>
      </c>
      <c r="I45" s="282">
        <v>1.3797916666666667</v>
      </c>
      <c r="J45" s="283">
        <v>9.2708333333333351E-2</v>
      </c>
      <c r="K45" s="219">
        <v>22.651215072783899</v>
      </c>
      <c r="L45" s="220">
        <v>1.0143108721733094</v>
      </c>
      <c r="M45" s="220">
        <v>0</v>
      </c>
      <c r="N45" s="220">
        <v>1.7369705808188776</v>
      </c>
      <c r="P45" s="220">
        <v>0.73411033333333331</v>
      </c>
      <c r="Q45" s="220"/>
      <c r="R45" s="220">
        <f t="shared" si="32"/>
        <v>26.136606859109417</v>
      </c>
      <c r="S45" s="240"/>
      <c r="T45" s="210">
        <f t="shared" si="33"/>
        <v>3.2459065673088805</v>
      </c>
      <c r="U45" s="215">
        <f t="shared" si="34"/>
        <v>0.25629170711090177</v>
      </c>
      <c r="V45" s="221"/>
      <c r="W45" s="215"/>
      <c r="Y45" s="90"/>
      <c r="BD45" s="217">
        <f t="shared" si="35"/>
        <v>37103</v>
      </c>
      <c r="BE45" s="10" t="str">
        <f t="shared" si="35"/>
        <v>Tochten DE Almere</v>
      </c>
      <c r="BF45" s="90"/>
      <c r="BG45" s="90">
        <f>BF7+BG7</f>
        <v>8.6152991256979561E-2</v>
      </c>
      <c r="BH45" s="90">
        <f t="shared" si="36"/>
        <v>2.3679660459635855E-2</v>
      </c>
      <c r="BI45" s="90">
        <f t="shared" si="36"/>
        <v>7.0393462181300232E-5</v>
      </c>
      <c r="BJ45" s="90">
        <f t="shared" si="36"/>
        <v>9.4341786731341332E-2</v>
      </c>
      <c r="BK45" s="90">
        <f t="shared" si="36"/>
        <v>3.5898962164253818E-2</v>
      </c>
      <c r="BL45" s="90">
        <f t="shared" si="36"/>
        <v>0.29284541932000341</v>
      </c>
      <c r="BM45" s="90">
        <f t="shared" si="36"/>
        <v>6.1602552828569412E-2</v>
      </c>
      <c r="BN45" s="90">
        <f>BN7+BO7+BP7</f>
        <v>6.3124733737692715E-3</v>
      </c>
      <c r="BO45" s="90">
        <f t="shared" si="37"/>
        <v>0</v>
      </c>
      <c r="BP45" s="90">
        <f t="shared" si="37"/>
        <v>0</v>
      </c>
      <c r="BQ45" s="90">
        <f t="shared" si="37"/>
        <v>0.11952722794580692</v>
      </c>
      <c r="BR45" s="90">
        <f t="shared" si="38"/>
        <v>0.2604842163462126</v>
      </c>
      <c r="BS45" s="90">
        <f t="shared" si="39"/>
        <v>9.0104598059875911E-3</v>
      </c>
      <c r="BT45" s="218">
        <f t="shared" si="40"/>
        <v>1.0073856305258979E-2</v>
      </c>
      <c r="BU45" s="90">
        <f t="shared" ref="BU45:BU55" si="41">SUM(BG45:BT45)</f>
        <v>1</v>
      </c>
    </row>
    <row r="46" spans="1:80" x14ac:dyDescent="0.3">
      <c r="A46" s="91">
        <v>37104</v>
      </c>
      <c r="B46" s="206" t="s">
        <v>81</v>
      </c>
      <c r="C46" s="207" t="s">
        <v>153</v>
      </c>
      <c r="D46" s="208"/>
      <c r="E46" s="208"/>
      <c r="F46" s="209">
        <v>96481056</v>
      </c>
      <c r="G46" s="221">
        <v>4</v>
      </c>
      <c r="H46" s="211">
        <v>0.3</v>
      </c>
      <c r="I46" s="282">
        <v>6.4773333333333332</v>
      </c>
      <c r="J46" s="283">
        <v>0.28081944444444445</v>
      </c>
      <c r="K46" s="219">
        <v>21.261959201568803</v>
      </c>
      <c r="L46" s="220">
        <v>7.5120309973963844</v>
      </c>
      <c r="M46" s="220">
        <v>0</v>
      </c>
      <c r="N46" s="220">
        <v>0.39614587271410706</v>
      </c>
      <c r="P46" s="220">
        <v>0</v>
      </c>
      <c r="Q46" s="220"/>
      <c r="R46" s="220">
        <f t="shared" si="32"/>
        <v>29.170136071679295</v>
      </c>
      <c r="S46" s="240"/>
      <c r="T46" s="210">
        <f t="shared" si="33"/>
        <v>4.9876755161480872</v>
      </c>
      <c r="U46" s="215">
        <f t="shared" si="34"/>
        <v>0.15661768145604088</v>
      </c>
      <c r="V46" s="221"/>
      <c r="W46" s="215"/>
      <c r="Y46" s="90"/>
      <c r="BD46" s="217">
        <f t="shared" si="35"/>
        <v>37104</v>
      </c>
      <c r="BE46" s="10" t="str">
        <f t="shared" si="35"/>
        <v>Tochten DE Zuidlob</v>
      </c>
      <c r="BF46" s="90"/>
      <c r="BG46" s="90">
        <f t="shared" ref="BG46:BG51" si="42">BF8+BG8</f>
        <v>0.14792594074421797</v>
      </c>
      <c r="BH46" s="90">
        <f t="shared" si="36"/>
        <v>5.7459650182581035E-2</v>
      </c>
      <c r="BI46" s="90">
        <f t="shared" si="36"/>
        <v>1.3197148606358675E-4</v>
      </c>
      <c r="BJ46" s="90">
        <f t="shared" si="36"/>
        <v>5.9283603953431942E-2</v>
      </c>
      <c r="BK46" s="90">
        <f t="shared" si="36"/>
        <v>0.1261855185388002</v>
      </c>
      <c r="BL46" s="90">
        <f t="shared" si="36"/>
        <v>9.7868548660773103E-2</v>
      </c>
      <c r="BM46" s="90">
        <f t="shared" si="36"/>
        <v>0.34484503547313322</v>
      </c>
      <c r="BN46" s="90">
        <f t="shared" ref="BN46:BN51" si="43">BN8+BO8+BP8</f>
        <v>1.591199142663589E-2</v>
      </c>
      <c r="BO46" s="90">
        <f t="shared" si="37"/>
        <v>0</v>
      </c>
      <c r="BP46" s="90">
        <f t="shared" si="37"/>
        <v>0</v>
      </c>
      <c r="BQ46" s="90">
        <f t="shared" si="37"/>
        <v>6.8376616796653647E-2</v>
      </c>
      <c r="BR46" s="90">
        <f t="shared" si="38"/>
        <v>8.0634251919517327E-2</v>
      </c>
      <c r="BS46" s="90">
        <f t="shared" si="39"/>
        <v>0</v>
      </c>
      <c r="BT46" s="218">
        <f t="shared" si="40"/>
        <v>1.376870818191836E-3</v>
      </c>
      <c r="BU46" s="90">
        <f t="shared" si="41"/>
        <v>0.99999999999999967</v>
      </c>
    </row>
    <row r="47" spans="1:80" x14ac:dyDescent="0.3">
      <c r="A47" s="91">
        <v>37105</v>
      </c>
      <c r="B47" s="206" t="s">
        <v>83</v>
      </c>
      <c r="C47" s="207" t="s">
        <v>154</v>
      </c>
      <c r="D47" s="208"/>
      <c r="E47" s="208"/>
      <c r="F47" s="209">
        <v>153247495</v>
      </c>
      <c r="G47" s="221">
        <v>2.5</v>
      </c>
      <c r="H47" s="211">
        <v>0.22</v>
      </c>
      <c r="I47" s="282">
        <v>4.2090111079812296</v>
      </c>
      <c r="J47" s="283">
        <v>0.12664178013678692</v>
      </c>
      <c r="K47" s="219">
        <v>46.374142164684891</v>
      </c>
      <c r="L47" s="220">
        <v>25.5625718900774</v>
      </c>
      <c r="M47" s="220">
        <v>0</v>
      </c>
      <c r="N47" s="220">
        <v>1.0629245554708153</v>
      </c>
      <c r="P47" s="220">
        <v>0.40990060421663432</v>
      </c>
      <c r="Q47" s="220">
        <v>3.6143241585786239</v>
      </c>
      <c r="R47" s="220">
        <f t="shared" si="32"/>
        <v>77.023863373028362</v>
      </c>
      <c r="S47" s="240"/>
      <c r="T47" s="210">
        <f t="shared" si="33"/>
        <v>5.4888600715659006</v>
      </c>
      <c r="U47" s="215">
        <f t="shared" si="34"/>
        <v>0.15307805366521157</v>
      </c>
      <c r="V47" s="221"/>
      <c r="W47" s="215"/>
      <c r="Y47" s="90"/>
      <c r="BD47" s="217">
        <f t="shared" si="35"/>
        <v>37105</v>
      </c>
      <c r="BE47" s="10" t="str">
        <f t="shared" si="35"/>
        <v>Tochten FGIK</v>
      </c>
      <c r="BF47" s="90"/>
      <c r="BG47" s="90">
        <f t="shared" si="42"/>
        <v>0.1515380807419115</v>
      </c>
      <c r="BH47" s="90">
        <f t="shared" si="36"/>
        <v>8.1824472224157438E-2</v>
      </c>
      <c r="BI47" s="90">
        <f t="shared" si="36"/>
        <v>1.2632541471425384E-4</v>
      </c>
      <c r="BJ47" s="90">
        <f t="shared" si="36"/>
        <v>5.225634240239703E-2</v>
      </c>
      <c r="BK47" s="90">
        <f t="shared" si="36"/>
        <v>0.11989357160470514</v>
      </c>
      <c r="BL47" s="90">
        <f t="shared" si="36"/>
        <v>4.1811554158331529E-2</v>
      </c>
      <c r="BM47" s="90">
        <f t="shared" si="36"/>
        <v>0.47602055340634036</v>
      </c>
      <c r="BN47" s="90">
        <f t="shared" si="43"/>
        <v>1.1224849437632554E-2</v>
      </c>
      <c r="BO47" s="90">
        <f t="shared" si="37"/>
        <v>3.0522933214882896E-4</v>
      </c>
      <c r="BP47" s="90">
        <f t="shared" si="37"/>
        <v>0</v>
      </c>
      <c r="BQ47" s="90">
        <f t="shared" si="37"/>
        <v>2.0823249822002957E-2</v>
      </c>
      <c r="BR47" s="90">
        <f t="shared" si="38"/>
        <v>3.854328867660646E-2</v>
      </c>
      <c r="BS47" s="90">
        <f t="shared" si="39"/>
        <v>3.0548028427581689E-3</v>
      </c>
      <c r="BT47" s="218">
        <f t="shared" si="40"/>
        <v>2.5776799362937537E-3</v>
      </c>
      <c r="BU47" s="90">
        <f t="shared" si="41"/>
        <v>1</v>
      </c>
    </row>
    <row r="48" spans="1:80" x14ac:dyDescent="0.3">
      <c r="A48" s="91">
        <v>37106</v>
      </c>
      <c r="B48" s="206" t="s">
        <v>85</v>
      </c>
      <c r="C48" s="207" t="s">
        <v>154</v>
      </c>
      <c r="D48" s="208"/>
      <c r="E48" s="208"/>
      <c r="F48" s="209">
        <v>68508287</v>
      </c>
      <c r="G48" s="221">
        <v>2.5</v>
      </c>
      <c r="H48" s="211">
        <v>0.22</v>
      </c>
      <c r="I48" s="282">
        <v>6.1594990079365095</v>
      </c>
      <c r="J48" s="283">
        <v>0.13348710317460319</v>
      </c>
      <c r="K48" s="219">
        <v>25.129275216640959</v>
      </c>
      <c r="L48" s="220">
        <v>0.66166709479111441</v>
      </c>
      <c r="M48" s="220">
        <v>0</v>
      </c>
      <c r="N48" s="220">
        <v>0.12248500325844167</v>
      </c>
      <c r="P48" s="220">
        <v>0</v>
      </c>
      <c r="Q48" s="220">
        <v>1.231827757592052</v>
      </c>
      <c r="R48" s="220">
        <f t="shared" si="32"/>
        <v>27.145255072282563</v>
      </c>
      <c r="S48" s="240"/>
      <c r="T48" s="210">
        <f t="shared" si="33"/>
        <v>3.6678248874497714</v>
      </c>
      <c r="U48" s="215">
        <f t="shared" si="34"/>
        <v>8.4335921444194134E-2</v>
      </c>
      <c r="V48" s="221"/>
      <c r="W48" s="215"/>
      <c r="Y48" s="90"/>
      <c r="BD48" s="217">
        <f t="shared" si="35"/>
        <v>37106</v>
      </c>
      <c r="BE48" s="10" t="str">
        <f t="shared" si="35"/>
        <v>Tochten FGIK ZUID</v>
      </c>
      <c r="BF48" s="90"/>
      <c r="BG48" s="90">
        <f t="shared" si="42"/>
        <v>0.45822321522779419</v>
      </c>
      <c r="BH48" s="90">
        <f t="shared" si="36"/>
        <v>7.9541322439446643E-2</v>
      </c>
      <c r="BI48" s="90">
        <f t="shared" si="36"/>
        <v>1.301040147302303E-4</v>
      </c>
      <c r="BJ48" s="90">
        <f t="shared" si="36"/>
        <v>5.7649943633390204E-2</v>
      </c>
      <c r="BK48" s="90">
        <f t="shared" si="36"/>
        <v>0.17557493369964705</v>
      </c>
      <c r="BL48" s="90">
        <f t="shared" si="36"/>
        <v>7.5230994967012979E-2</v>
      </c>
      <c r="BM48" s="90">
        <f t="shared" si="36"/>
        <v>9.3235411202462148E-2</v>
      </c>
      <c r="BN48" s="90">
        <f t="shared" si="43"/>
        <v>2.6883877324618142E-2</v>
      </c>
      <c r="BO48" s="90">
        <f t="shared" si="37"/>
        <v>4.3981759742654509E-4</v>
      </c>
      <c r="BP48" s="90">
        <f t="shared" si="37"/>
        <v>0</v>
      </c>
      <c r="BQ48" s="90">
        <f t="shared" si="37"/>
        <v>2.0190694422462213E-2</v>
      </c>
      <c r="BR48" s="90">
        <f t="shared" si="38"/>
        <v>8.2857480381607167E-3</v>
      </c>
      <c r="BS48" s="90">
        <f t="shared" si="39"/>
        <v>2.5820049887821457E-3</v>
      </c>
      <c r="BT48" s="218">
        <f t="shared" si="40"/>
        <v>2.0319324440666296E-3</v>
      </c>
      <c r="BU48" s="90">
        <f t="shared" si="41"/>
        <v>0.99999999999999989</v>
      </c>
    </row>
    <row r="49" spans="1:73" x14ac:dyDescent="0.3">
      <c r="A49" s="91">
        <v>37107</v>
      </c>
      <c r="B49" s="206" t="s">
        <v>87</v>
      </c>
      <c r="C49" s="207" t="s">
        <v>155</v>
      </c>
      <c r="D49" s="208"/>
      <c r="E49" s="208"/>
      <c r="F49" s="209">
        <v>82260987</v>
      </c>
      <c r="G49" s="221">
        <v>2.4</v>
      </c>
      <c r="H49" s="211">
        <v>0.22</v>
      </c>
      <c r="I49" s="282">
        <v>3.4216319444444436</v>
      </c>
      <c r="J49" s="283">
        <v>6.1319444444444426E-2</v>
      </c>
      <c r="K49" s="219">
        <v>21.446365329487641</v>
      </c>
      <c r="L49" s="220">
        <v>17.571838378939919</v>
      </c>
      <c r="M49" s="220">
        <v>0</v>
      </c>
      <c r="N49" s="220">
        <v>0.15647497017008585</v>
      </c>
      <c r="P49" s="220">
        <v>0</v>
      </c>
      <c r="Q49" s="220">
        <v>21.343057184810164</v>
      </c>
      <c r="R49" s="220">
        <f t="shared" si="32"/>
        <v>60.517735863407815</v>
      </c>
      <c r="S49" s="240"/>
      <c r="T49" s="210">
        <f t="shared" si="33"/>
        <v>6.413460300164969</v>
      </c>
      <c r="U49" s="215">
        <f t="shared" si="34"/>
        <v>0.12159949267716193</v>
      </c>
      <c r="V49" s="221"/>
      <c r="W49" s="215"/>
      <c r="Y49" s="90"/>
      <c r="BD49" s="217">
        <f t="shared" si="35"/>
        <v>37107</v>
      </c>
      <c r="BE49" s="10" t="str">
        <f t="shared" si="35"/>
        <v>Tochten H</v>
      </c>
      <c r="BF49" s="90"/>
      <c r="BG49" s="90">
        <f t="shared" si="42"/>
        <v>0.11453564688293</v>
      </c>
      <c r="BH49" s="90">
        <f t="shared" si="36"/>
        <v>6.1011340603485405E-2</v>
      </c>
      <c r="BI49" s="90">
        <f t="shared" si="36"/>
        <v>8.4462556065197122E-5</v>
      </c>
      <c r="BJ49" s="90">
        <f t="shared" si="36"/>
        <v>2.1441425668361738E-2</v>
      </c>
      <c r="BK49" s="90">
        <f t="shared" si="36"/>
        <v>9.2351372326947276E-2</v>
      </c>
      <c r="BL49" s="90">
        <f t="shared" si="36"/>
        <v>1.0567342277026178E-2</v>
      </c>
      <c r="BM49" s="90">
        <f t="shared" si="36"/>
        <v>0.65145619386673947</v>
      </c>
      <c r="BN49" s="90">
        <f t="shared" si="43"/>
        <v>1.1246367839151616E-2</v>
      </c>
      <c r="BO49" s="90">
        <f t="shared" si="37"/>
        <v>2.2604032352665955E-3</v>
      </c>
      <c r="BP49" s="90">
        <f t="shared" si="37"/>
        <v>0</v>
      </c>
      <c r="BQ49" s="90">
        <f t="shared" si="37"/>
        <v>1.2644492390458164E-2</v>
      </c>
      <c r="BR49" s="90">
        <f t="shared" si="38"/>
        <v>7.3304661114651842E-3</v>
      </c>
      <c r="BS49" s="90">
        <f t="shared" si="39"/>
        <v>1.3415823601558161E-2</v>
      </c>
      <c r="BT49" s="218">
        <f t="shared" si="40"/>
        <v>1.6546626405451084E-3</v>
      </c>
      <c r="BU49" s="90">
        <f t="shared" si="41"/>
        <v>1</v>
      </c>
    </row>
    <row r="50" spans="1:73" x14ac:dyDescent="0.3">
      <c r="A50" s="91">
        <v>37108</v>
      </c>
      <c r="B50" s="206" t="s">
        <v>156</v>
      </c>
      <c r="C50" s="207" t="s">
        <v>157</v>
      </c>
      <c r="D50" s="208"/>
      <c r="E50" s="208"/>
      <c r="F50" s="209">
        <v>124006221</v>
      </c>
      <c r="G50" s="221">
        <v>5</v>
      </c>
      <c r="H50" s="211">
        <v>0.27</v>
      </c>
      <c r="I50" s="282">
        <v>8.6137161796536805</v>
      </c>
      <c r="J50" s="283">
        <v>0.23439966393255865</v>
      </c>
      <c r="K50" s="219">
        <v>51.53954750549174</v>
      </c>
      <c r="L50" s="220">
        <v>13.747464731304886</v>
      </c>
      <c r="M50" s="220">
        <v>0</v>
      </c>
      <c r="N50" s="220">
        <v>0.65254680351530714</v>
      </c>
      <c r="P50" s="220">
        <v>1.2382114064761907</v>
      </c>
      <c r="Q50" s="220">
        <v>0</v>
      </c>
      <c r="R50" s="220">
        <f t="shared" si="32"/>
        <v>67.177770446788131</v>
      </c>
      <c r="S50" s="240"/>
      <c r="T50" s="210">
        <f t="shared" si="33"/>
        <v>6.5820458366030099</v>
      </c>
      <c r="U50" s="215">
        <f t="shared" si="34"/>
        <v>0.11844962963161614</v>
      </c>
      <c r="V50" s="221"/>
      <c r="W50" s="215"/>
      <c r="Y50" s="90"/>
      <c r="BD50" s="217">
        <f t="shared" si="35"/>
        <v>37108</v>
      </c>
      <c r="BE50" s="10" t="str">
        <f t="shared" si="35"/>
        <v>Tochten J</v>
      </c>
      <c r="BF50" s="90"/>
      <c r="BG50" s="90">
        <f t="shared" si="42"/>
        <v>0.21793854010857547</v>
      </c>
      <c r="BH50" s="90">
        <f t="shared" si="36"/>
        <v>5.5124632480170542E-2</v>
      </c>
      <c r="BI50" s="90">
        <f t="shared" si="36"/>
        <v>2.0994883502563097E-4</v>
      </c>
      <c r="BJ50" s="90">
        <f t="shared" si="36"/>
        <v>0.11266556414748358</v>
      </c>
      <c r="BK50" s="90">
        <f t="shared" si="36"/>
        <v>7.2453003051047155E-2</v>
      </c>
      <c r="BL50" s="90">
        <f t="shared" si="36"/>
        <v>4.0874705157760198E-2</v>
      </c>
      <c r="BM50" s="90">
        <f t="shared" si="36"/>
        <v>0.4332501404027938</v>
      </c>
      <c r="BN50" s="90">
        <f t="shared" si="43"/>
        <v>1.0127452160711746E-2</v>
      </c>
      <c r="BO50" s="90">
        <f t="shared" si="37"/>
        <v>0</v>
      </c>
      <c r="BP50" s="90">
        <f t="shared" si="37"/>
        <v>0</v>
      </c>
      <c r="BQ50" s="90">
        <f t="shared" si="37"/>
        <v>2.4752334147011348E-2</v>
      </c>
      <c r="BR50" s="90">
        <f t="shared" si="38"/>
        <v>2.5197099877184635E-2</v>
      </c>
      <c r="BS50" s="90">
        <f t="shared" si="39"/>
        <v>5.4171299035913091E-3</v>
      </c>
      <c r="BT50" s="218">
        <f t="shared" si="40"/>
        <v>1.9894497286446779E-3</v>
      </c>
      <c r="BU50" s="90">
        <f t="shared" si="41"/>
        <v>1.0000000000000002</v>
      </c>
    </row>
    <row r="51" spans="1:73" x14ac:dyDescent="0.3">
      <c r="A51" s="91">
        <v>37109</v>
      </c>
      <c r="B51" s="206" t="s">
        <v>91</v>
      </c>
      <c r="C51" s="207" t="s">
        <v>158</v>
      </c>
      <c r="D51" s="208"/>
      <c r="E51" s="208"/>
      <c r="F51" s="209">
        <v>365755051</v>
      </c>
      <c r="G51" s="221">
        <v>3.5</v>
      </c>
      <c r="H51" s="211">
        <v>0.22</v>
      </c>
      <c r="I51" s="282">
        <v>4.772551591076188</v>
      </c>
      <c r="J51" s="283">
        <v>9.8949807385963276E-2</v>
      </c>
      <c r="K51" s="219">
        <v>136.21852364891708</v>
      </c>
      <c r="L51" s="220">
        <v>40.441399411763875</v>
      </c>
      <c r="M51" s="220">
        <v>0</v>
      </c>
      <c r="N51" s="220">
        <v>1.7785306962631819</v>
      </c>
      <c r="P51" s="220">
        <v>59.988430937613487</v>
      </c>
      <c r="Q51" s="220">
        <v>13.112796215065163</v>
      </c>
      <c r="R51" s="220">
        <f t="shared" si="32"/>
        <v>251.5396809096228</v>
      </c>
      <c r="S51" s="240"/>
      <c r="T51" s="210">
        <f t="shared" si="33"/>
        <v>5.1964711958426957</v>
      </c>
      <c r="U51" s="215">
        <f t="shared" si="34"/>
        <v>0.11616353733580585</v>
      </c>
      <c r="V51" s="221"/>
      <c r="W51" s="215"/>
      <c r="Y51" s="90"/>
      <c r="BD51" s="217">
        <f t="shared" si="35"/>
        <v>37109</v>
      </c>
      <c r="BE51" s="10" t="str">
        <f t="shared" si="35"/>
        <v>Tochten lage afdeling NOP</v>
      </c>
      <c r="BF51" s="90"/>
      <c r="BG51" s="90">
        <f t="shared" si="42"/>
        <v>0.36807001362856706</v>
      </c>
      <c r="BH51" s="90">
        <f t="shared" si="36"/>
        <v>4.1588918445164741E-2</v>
      </c>
      <c r="BI51" s="90">
        <f t="shared" si="36"/>
        <v>4.8378865742898871E-4</v>
      </c>
      <c r="BJ51" s="90">
        <f t="shared" si="36"/>
        <v>0.17472377899845307</v>
      </c>
      <c r="BK51" s="90">
        <f t="shared" si="36"/>
        <v>9.2697489022284169E-2</v>
      </c>
      <c r="BL51" s="90">
        <f t="shared" si="36"/>
        <v>2.0280327714452463E-2</v>
      </c>
      <c r="BM51" s="90">
        <f t="shared" si="36"/>
        <v>0.1712660115127019</v>
      </c>
      <c r="BN51" s="90">
        <f t="shared" si="43"/>
        <v>1.6590017295016704E-2</v>
      </c>
      <c r="BO51" s="90">
        <f t="shared" si="37"/>
        <v>3.2036471067771704E-4</v>
      </c>
      <c r="BP51" s="90">
        <f t="shared" si="37"/>
        <v>3.4410499834692452E-5</v>
      </c>
      <c r="BQ51" s="90">
        <f t="shared" si="37"/>
        <v>1.3307971667808029E-2</v>
      </c>
      <c r="BR51" s="90">
        <f t="shared" si="38"/>
        <v>3.1981795928487191E-3</v>
      </c>
      <c r="BS51" s="90">
        <f t="shared" si="39"/>
        <v>9.5590303497594786E-2</v>
      </c>
      <c r="BT51" s="218">
        <f t="shared" si="40"/>
        <v>1.8484247571670244E-3</v>
      </c>
      <c r="BU51" s="90">
        <f t="shared" si="41"/>
        <v>1.0000000000000002</v>
      </c>
    </row>
    <row r="52" spans="1:73" x14ac:dyDescent="0.3">
      <c r="A52" s="91">
        <v>37110</v>
      </c>
      <c r="B52" s="206" t="s">
        <v>93</v>
      </c>
      <c r="C52" s="207" t="s">
        <v>159</v>
      </c>
      <c r="D52" s="208"/>
      <c r="E52" s="208"/>
      <c r="F52" s="209">
        <v>69707994</v>
      </c>
      <c r="G52" s="221">
        <v>9</v>
      </c>
      <c r="H52" s="211">
        <v>2</v>
      </c>
      <c r="I52" s="282">
        <v>0</v>
      </c>
      <c r="J52" s="283">
        <v>0</v>
      </c>
      <c r="K52" s="219">
        <v>10.524194953726875</v>
      </c>
      <c r="L52" s="220">
        <v>6.9009674883931879E-2</v>
      </c>
      <c r="M52" s="220">
        <v>0</v>
      </c>
      <c r="N52" s="220">
        <v>0.70281258977217065</v>
      </c>
      <c r="P52" s="220">
        <v>0</v>
      </c>
      <c r="Q52" s="220"/>
      <c r="R52" s="220">
        <f t="shared" si="32"/>
        <v>11.296017218382977</v>
      </c>
      <c r="S52" s="240"/>
      <c r="T52" s="210">
        <f t="shared" si="33"/>
        <v>1.0224090321875901</v>
      </c>
      <c r="U52" s="215">
        <f t="shared" si="34"/>
        <v>0.35684055048869201</v>
      </c>
      <c r="V52" s="221"/>
      <c r="W52" s="215"/>
      <c r="Y52" s="90"/>
      <c r="BD52" s="217">
        <f t="shared" ref="BD52:BE55" si="44">BD15</f>
        <v>37111</v>
      </c>
      <c r="BE52" s="10" t="str">
        <f t="shared" si="44"/>
        <v>Tochten hoge afdeling NOP</v>
      </c>
      <c r="BF52" s="90"/>
      <c r="BG52" s="90">
        <f>BF15+BG15</f>
        <v>0.30144796427528481</v>
      </c>
      <c r="BH52" s="90">
        <f t="shared" ref="BH52:BM55" si="45">BH15</f>
        <v>5.5231096391900825E-2</v>
      </c>
      <c r="BI52" s="90">
        <f t="shared" si="45"/>
        <v>4.8791194323145935E-4</v>
      </c>
      <c r="BJ52" s="90">
        <f t="shared" si="45"/>
        <v>0.10611047442250864</v>
      </c>
      <c r="BK52" s="90">
        <f t="shared" si="45"/>
        <v>7.0444532756406775E-2</v>
      </c>
      <c r="BL52" s="90">
        <f t="shared" si="45"/>
        <v>1.7632060762574866E-2</v>
      </c>
      <c r="BM52" s="90">
        <f t="shared" si="45"/>
        <v>0.18170696307839737</v>
      </c>
      <c r="BN52" s="90">
        <f>BN15+BO15+BP15</f>
        <v>1.7592794991765873E-2</v>
      </c>
      <c r="BO52" s="90">
        <f t="shared" ref="BO52:BQ55" si="46">BQ15</f>
        <v>5.727410207932927E-6</v>
      </c>
      <c r="BP52" s="90">
        <f t="shared" si="46"/>
        <v>5.5095705594777043E-7</v>
      </c>
      <c r="BQ52" s="90">
        <f t="shared" si="46"/>
        <v>1.7502315460024592E-2</v>
      </c>
      <c r="BR52" s="90">
        <f>BU15</f>
        <v>1.1603415098929465E-3</v>
      </c>
      <c r="BS52" s="90">
        <f>BY15</f>
        <v>0.22957618537847385</v>
      </c>
      <c r="BT52" s="218">
        <f>BT15+BV15+BW15+BX15</f>
        <v>1.1010806622740693E-3</v>
      </c>
      <c r="BU52" s="90">
        <f t="shared" si="41"/>
        <v>0.99999999999999989</v>
      </c>
    </row>
    <row r="53" spans="1:73" x14ac:dyDescent="0.3">
      <c r="A53" s="91">
        <v>37111</v>
      </c>
      <c r="B53" s="206" t="s">
        <v>94</v>
      </c>
      <c r="C53" s="207" t="s">
        <v>160</v>
      </c>
      <c r="D53" s="208"/>
      <c r="E53" s="208"/>
      <c r="F53" s="209">
        <v>83657293</v>
      </c>
      <c r="G53" s="221">
        <v>3</v>
      </c>
      <c r="H53" s="211">
        <v>0.22</v>
      </c>
      <c r="I53" s="282">
        <v>4.5035114734299517</v>
      </c>
      <c r="J53" s="283">
        <v>0.11159822866344606</v>
      </c>
      <c r="K53" s="219">
        <v>30.135513026252866</v>
      </c>
      <c r="L53" s="220">
        <v>10.997387462749487</v>
      </c>
      <c r="M53" s="220">
        <v>0</v>
      </c>
      <c r="N53" s="220">
        <v>0.28372916700410333</v>
      </c>
      <c r="P53" s="220">
        <v>35.622248331054124</v>
      </c>
      <c r="Q53" s="220">
        <v>1.8076550934547819</v>
      </c>
      <c r="R53" s="220">
        <f t="shared" si="32"/>
        <v>78.846533080515357</v>
      </c>
      <c r="S53" s="240"/>
      <c r="T53" s="210">
        <f t="shared" si="33"/>
        <v>4.1674697477060043</v>
      </c>
      <c r="U53" s="215">
        <f t="shared" si="34"/>
        <v>9.5032344168478278E-2</v>
      </c>
      <c r="V53" s="221"/>
      <c r="W53" s="215"/>
      <c r="Y53" s="90"/>
      <c r="BD53" s="217">
        <f t="shared" si="44"/>
        <v>37112</v>
      </c>
      <c r="BE53" s="10" t="str">
        <f t="shared" si="44"/>
        <v>Vaarten NOP</v>
      </c>
      <c r="BF53" s="90"/>
      <c r="BG53" s="90">
        <f>BF16+BG16</f>
        <v>0.31542419066252508</v>
      </c>
      <c r="BH53" s="90">
        <f t="shared" si="45"/>
        <v>3.8970178391015603E-2</v>
      </c>
      <c r="BI53" s="90">
        <f t="shared" si="45"/>
        <v>4.2307519739464124E-4</v>
      </c>
      <c r="BJ53" s="90">
        <f t="shared" si="45"/>
        <v>0.14496805660930293</v>
      </c>
      <c r="BK53" s="90">
        <f t="shared" si="45"/>
        <v>8.1023585639845228E-2</v>
      </c>
      <c r="BL53" s="90">
        <f t="shared" si="45"/>
        <v>2.0515511155492678E-2</v>
      </c>
      <c r="BM53" s="90">
        <f t="shared" si="45"/>
        <v>0.23297875160463935</v>
      </c>
      <c r="BN53" s="90">
        <f>BN16+BO16+BP16</f>
        <v>1.4202743891807226E-2</v>
      </c>
      <c r="BO53" s="90">
        <f t="shared" si="46"/>
        <v>3.2515120921805307E-2</v>
      </c>
      <c r="BP53" s="90">
        <f t="shared" si="46"/>
        <v>2.2785063945538459E-5</v>
      </c>
      <c r="BQ53" s="90">
        <f t="shared" si="46"/>
        <v>1.32080471540364E-2</v>
      </c>
      <c r="BR53" s="90">
        <f>BU16</f>
        <v>3.0935459161639208E-3</v>
      </c>
      <c r="BS53" s="90">
        <f>BY16</f>
        <v>0.10043315321191609</v>
      </c>
      <c r="BT53" s="218">
        <f>BT16+BV16+BW16+BX16</f>
        <v>2.2212545801100071E-3</v>
      </c>
      <c r="BU53" s="90">
        <f t="shared" si="41"/>
        <v>1</v>
      </c>
    </row>
    <row r="54" spans="1:73" x14ac:dyDescent="0.3">
      <c r="A54" s="91">
        <v>37112</v>
      </c>
      <c r="B54" s="206" t="s">
        <v>96</v>
      </c>
      <c r="C54" s="207" t="s">
        <v>161</v>
      </c>
      <c r="D54" s="208"/>
      <c r="E54" s="208"/>
      <c r="F54" s="209">
        <v>30272793</v>
      </c>
      <c r="G54" s="221">
        <v>3.8</v>
      </c>
      <c r="H54" s="211">
        <v>0.15</v>
      </c>
      <c r="I54" s="282">
        <v>4.0619241349073745</v>
      </c>
      <c r="J54" s="283">
        <v>6.8839762269430102E-2</v>
      </c>
      <c r="K54" s="219">
        <v>7.4911810842818802</v>
      </c>
      <c r="L54" s="220">
        <v>26.8827465041058</v>
      </c>
      <c r="M54" s="220">
        <v>6.9477936501666671</v>
      </c>
      <c r="N54" s="220">
        <v>0.33391925177564041</v>
      </c>
      <c r="P54" s="220">
        <v>6.5105081666666669</v>
      </c>
      <c r="Q54" s="220">
        <v>302.53559152220919</v>
      </c>
      <c r="R54" s="220">
        <f t="shared" si="32"/>
        <v>350.70174017920584</v>
      </c>
      <c r="S54" s="222">
        <f>R54*1</f>
        <v>350.70174017920584</v>
      </c>
      <c r="T54" s="210">
        <f t="shared" si="33"/>
        <v>4.9700462600246675</v>
      </c>
      <c r="U54" s="215">
        <f t="shared" si="34"/>
        <v>0.11244937266805358</v>
      </c>
      <c r="V54" s="223">
        <f>AE16/1000</f>
        <v>1743.0038721618048</v>
      </c>
      <c r="W54" s="285">
        <f>AE34/1000</f>
        <v>39.436190676746406</v>
      </c>
      <c r="Y54" s="90"/>
      <c r="BD54" s="217">
        <f t="shared" si="44"/>
        <v>37113</v>
      </c>
      <c r="BE54" s="10" t="str">
        <f t="shared" si="44"/>
        <v>Vaarten hoge afdeling ZOF</v>
      </c>
      <c r="BF54" s="90"/>
      <c r="BG54" s="90">
        <f>BF17+BG17</f>
        <v>0.10779212041930553</v>
      </c>
      <c r="BH54" s="90">
        <f t="shared" si="45"/>
        <v>3.9948669794753568E-2</v>
      </c>
      <c r="BI54" s="90">
        <f t="shared" si="45"/>
        <v>1.2893157543888758E-4</v>
      </c>
      <c r="BJ54" s="90">
        <f t="shared" si="45"/>
        <v>7.572189853236394E-2</v>
      </c>
      <c r="BK54" s="90">
        <f t="shared" si="45"/>
        <v>7.6466928037566426E-2</v>
      </c>
      <c r="BL54" s="90">
        <f t="shared" si="45"/>
        <v>7.4743037215167119E-2</v>
      </c>
      <c r="BM54" s="90">
        <f t="shared" si="45"/>
        <v>0.50264292535938804</v>
      </c>
      <c r="BN54" s="90">
        <f>BN17+BO17+BP17</f>
        <v>9.306821309358497E-3</v>
      </c>
      <c r="BO54" s="90">
        <f t="shared" si="46"/>
        <v>9.6602412484110504E-3</v>
      </c>
      <c r="BP54" s="90">
        <f t="shared" si="46"/>
        <v>0</v>
      </c>
      <c r="BQ54" s="90">
        <f t="shared" si="46"/>
        <v>3.5812149351170219E-2</v>
      </c>
      <c r="BR54" s="90">
        <f>BU17</f>
        <v>3.0918750604161879E-2</v>
      </c>
      <c r="BS54" s="90">
        <f>BY17</f>
        <v>3.4591605347285011E-2</v>
      </c>
      <c r="BT54" s="218">
        <f>BT17+BV17+BW17+BX17</f>
        <v>2.2659212056299035E-3</v>
      </c>
      <c r="BU54" s="90">
        <f t="shared" si="41"/>
        <v>0.99999999999999978</v>
      </c>
    </row>
    <row r="55" spans="1:73" x14ac:dyDescent="0.3">
      <c r="A55" s="91">
        <v>37113</v>
      </c>
      <c r="B55" s="206" t="s">
        <v>98</v>
      </c>
      <c r="C55" s="207" t="s">
        <v>162</v>
      </c>
      <c r="D55" s="208"/>
      <c r="E55" s="208"/>
      <c r="F55" s="209">
        <v>62900908</v>
      </c>
      <c r="G55" s="221">
        <v>2.5</v>
      </c>
      <c r="H55" s="211">
        <v>0.1</v>
      </c>
      <c r="I55" s="282">
        <v>3.1070448691172388</v>
      </c>
      <c r="J55" s="283">
        <v>8.0035301930038757E-2</v>
      </c>
      <c r="K55" s="219">
        <v>18.425917532614225</v>
      </c>
      <c r="L55" s="220">
        <v>21.9479079428402</v>
      </c>
      <c r="M55" s="220">
        <v>1.6843099669499999</v>
      </c>
      <c r="N55" s="220">
        <v>0.20643795048564306</v>
      </c>
      <c r="P55" s="220">
        <v>31.163793521166671</v>
      </c>
      <c r="Q55" s="220">
        <v>144.1771353223279</v>
      </c>
      <c r="R55" s="220">
        <f t="shared" si="32"/>
        <v>217.60550223638464</v>
      </c>
      <c r="S55" s="222">
        <f>R55*(1-0.12)</f>
        <v>191.4928419680185</v>
      </c>
      <c r="T55" s="210">
        <f t="shared" si="33"/>
        <v>4.5717499053363051</v>
      </c>
      <c r="U55" s="215">
        <f t="shared" si="34"/>
        <v>0.11592826670189572</v>
      </c>
      <c r="V55" s="223">
        <f>AE17/1000*(1-0.12)</f>
        <v>875.45738213986863</v>
      </c>
      <c r="W55" s="285">
        <f>AE35/1000*(1-0.12)</f>
        <v>22.199433255172416</v>
      </c>
      <c r="Y55" s="90"/>
      <c r="BD55" s="217">
        <f t="shared" si="44"/>
        <v>37114</v>
      </c>
      <c r="BE55" s="10" t="str">
        <f t="shared" si="44"/>
        <v>Vaarten Lage afdeling ZOF</v>
      </c>
      <c r="BF55" s="90"/>
      <c r="BG55" s="90">
        <f>BF18+BG18</f>
        <v>0.12929389796102703</v>
      </c>
      <c r="BH55" s="90">
        <f t="shared" si="45"/>
        <v>4.8225014449082261E-2</v>
      </c>
      <c r="BI55" s="90">
        <f t="shared" si="45"/>
        <v>1.032467071748682E-4</v>
      </c>
      <c r="BJ55" s="90">
        <f t="shared" si="45"/>
        <v>4.4337309801332513E-2</v>
      </c>
      <c r="BK55" s="90">
        <f t="shared" si="45"/>
        <v>7.3380105906450652E-2</v>
      </c>
      <c r="BL55" s="90">
        <f t="shared" si="45"/>
        <v>3.8966520945299815E-2</v>
      </c>
      <c r="BM55" s="90">
        <f t="shared" si="45"/>
        <v>0.54310768111143948</v>
      </c>
      <c r="BN55" s="90">
        <f>BN18+BO18+BP18</f>
        <v>9.147552521184845E-3</v>
      </c>
      <c r="BO55" s="90">
        <f t="shared" si="46"/>
        <v>5.6453792940609843E-2</v>
      </c>
      <c r="BP55" s="90">
        <f t="shared" si="46"/>
        <v>1.3052229312726993E-3</v>
      </c>
      <c r="BQ55" s="90">
        <f t="shared" si="46"/>
        <v>1.9472749766585709E-2</v>
      </c>
      <c r="BR55" s="90">
        <f>BU18</f>
        <v>2.2344145639650519E-2</v>
      </c>
      <c r="BS55" s="90">
        <f>BY18</f>
        <v>1.1406776578134032E-2</v>
      </c>
      <c r="BT55" s="218">
        <f>BT18+BV18+BW18+BX18</f>
        <v>2.4559827407557157E-3</v>
      </c>
      <c r="BU55" s="90">
        <f t="shared" si="41"/>
        <v>1</v>
      </c>
    </row>
    <row r="56" spans="1:73" ht="15" thickBot="1" x14ac:dyDescent="0.35">
      <c r="A56" s="91">
        <v>37114</v>
      </c>
      <c r="B56" s="206" t="s">
        <v>100</v>
      </c>
      <c r="C56" s="207" t="s">
        <v>163</v>
      </c>
      <c r="D56" s="208"/>
      <c r="E56" s="208"/>
      <c r="F56" s="209">
        <v>86931051</v>
      </c>
      <c r="G56" s="221">
        <v>3.8</v>
      </c>
      <c r="H56" s="211">
        <v>0.15</v>
      </c>
      <c r="I56" s="282">
        <v>4.4925884771358904</v>
      </c>
      <c r="J56" s="283">
        <v>0.12583093869731798</v>
      </c>
      <c r="K56" s="219">
        <v>20.122948320049098</v>
      </c>
      <c r="L56" s="220">
        <v>39.127483883338947</v>
      </c>
      <c r="M56" s="220">
        <v>19.650334927666663</v>
      </c>
      <c r="N56" s="220">
        <v>0.95028074530483175</v>
      </c>
      <c r="P56" s="220">
        <v>11.8739115</v>
      </c>
      <c r="Q56" s="220">
        <v>252.96378702602732</v>
      </c>
      <c r="R56" s="220">
        <f t="shared" si="32"/>
        <v>344.68874640238687</v>
      </c>
      <c r="S56" s="222">
        <f>R56*1</f>
        <v>344.68874640238687</v>
      </c>
      <c r="T56" s="210">
        <f t="shared" si="33"/>
        <v>6.1397198560195516</v>
      </c>
      <c r="U56" s="215">
        <f t="shared" si="34"/>
        <v>0.15048174711530019</v>
      </c>
      <c r="V56" s="229">
        <f>AE18/1000</f>
        <v>2116.2923404332223</v>
      </c>
      <c r="W56" s="286">
        <f>AE36/1000</f>
        <v>51.869364769613817</v>
      </c>
      <c r="Y56" s="90"/>
      <c r="BD56" s="225"/>
      <c r="BE56" s="226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8"/>
      <c r="BU56" s="90"/>
    </row>
    <row r="57" spans="1:73" x14ac:dyDescent="0.3">
      <c r="A57" s="57">
        <v>37113</v>
      </c>
      <c r="B57" s="188" t="s">
        <v>164</v>
      </c>
      <c r="C57" s="231"/>
      <c r="D57" s="232"/>
      <c r="E57" s="232"/>
      <c r="F57" s="233"/>
      <c r="G57" s="216"/>
      <c r="H57" s="234"/>
      <c r="I57" s="214"/>
      <c r="J57" s="235"/>
      <c r="K57" s="213"/>
      <c r="L57" s="213"/>
      <c r="M57" s="213"/>
      <c r="N57" s="213"/>
      <c r="O57" s="213"/>
      <c r="P57" s="213"/>
      <c r="Q57" s="213"/>
      <c r="R57" s="213"/>
      <c r="S57" s="236">
        <f>R55-S55</f>
        <v>26.112660268366142</v>
      </c>
      <c r="T57" s="214"/>
      <c r="U57" s="235"/>
    </row>
    <row r="58" spans="1:73" ht="15" thickBot="1" x14ac:dyDescent="0.35">
      <c r="A58" s="91" t="s">
        <v>103</v>
      </c>
      <c r="B58" t="s">
        <v>165</v>
      </c>
      <c r="C58" s="92"/>
      <c r="F58" s="237">
        <f>F51+F53+F54</f>
        <v>479685137</v>
      </c>
      <c r="G58" s="92"/>
      <c r="J58" s="206"/>
      <c r="K58" s="239">
        <f t="shared" ref="K58:N58" si="47">K51+K53+K54</f>
        <v>173.84521775945183</v>
      </c>
      <c r="L58" s="239"/>
      <c r="M58" s="239">
        <f t="shared" si="47"/>
        <v>6.9477936501666671</v>
      </c>
      <c r="N58" s="239">
        <f t="shared" si="47"/>
        <v>2.3961791150429255</v>
      </c>
      <c r="P58" s="239">
        <f>P51+P53+P54</f>
        <v>102.12118743533428</v>
      </c>
      <c r="Q58" s="239">
        <f>Q51+Q53+Q54</f>
        <v>317.45604283072913</v>
      </c>
      <c r="R58" s="239">
        <f>R51+R53+R54</f>
        <v>681.08795416934402</v>
      </c>
      <c r="S58" s="240"/>
      <c r="T58" s="241"/>
      <c r="U58" s="242"/>
    </row>
    <row r="59" spans="1:73" x14ac:dyDescent="0.3">
      <c r="A59" s="105" t="s">
        <v>166</v>
      </c>
      <c r="B59" s="243" t="s">
        <v>165</v>
      </c>
      <c r="C59" s="106"/>
      <c r="D59" s="243"/>
      <c r="E59" s="243"/>
      <c r="F59" s="244">
        <f>SUM(F43:F50)+F55+F56</f>
        <v>903549023</v>
      </c>
      <c r="G59" s="106"/>
      <c r="H59" s="243"/>
      <c r="I59" s="243"/>
      <c r="J59" s="245"/>
      <c r="K59" s="247">
        <f t="shared" ref="K59:N59" si="48">SUM(K43:K50)+K55+K56</f>
        <v>268.53641120135438</v>
      </c>
      <c r="L59" s="247"/>
      <c r="M59" s="247">
        <f t="shared" si="48"/>
        <v>21.334644894616662</v>
      </c>
      <c r="N59" s="247">
        <f t="shared" si="48"/>
        <v>5.6719337880956369</v>
      </c>
      <c r="P59" s="247">
        <f>SUM(P43:P50)+P55+P56</f>
        <v>45.419927365192827</v>
      </c>
      <c r="Q59" s="247">
        <f>SUM(Q43:Q50)+Q55+Q56</f>
        <v>450.6465442999239</v>
      </c>
      <c r="R59" s="247">
        <f>SUM(R43:R50)+R55+R56</f>
        <v>965.65242156719421</v>
      </c>
      <c r="S59" s="248"/>
      <c r="T59" s="249"/>
      <c r="U59" s="250"/>
      <c r="BD59" s="324" t="s">
        <v>193</v>
      </c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325"/>
      <c r="BQ59" s="325"/>
      <c r="BR59" s="325"/>
      <c r="BS59" s="325"/>
      <c r="BT59" s="326"/>
    </row>
    <row r="60" spans="1:73" ht="36.6" x14ac:dyDescent="0.3">
      <c r="G60" s="209"/>
      <c r="N60" s="239"/>
      <c r="O60" s="239"/>
      <c r="P60" s="239"/>
      <c r="Q60" s="239"/>
      <c r="R60" s="239"/>
      <c r="S60" s="251" t="s">
        <v>168</v>
      </c>
      <c r="T60" s="239"/>
      <c r="U60" s="239"/>
      <c r="BD60" s="351" t="s">
        <v>142</v>
      </c>
      <c r="BE60" s="352"/>
      <c r="BF60" s="352"/>
      <c r="BG60" s="204" t="str">
        <f>BG42</f>
        <v>bemesting</v>
      </c>
      <c r="BH60" s="204" t="str">
        <f t="shared" ref="BH60:BT60" si="49">BH42</f>
        <v>Depositie</v>
      </c>
      <c r="BI60" s="204" t="str">
        <f t="shared" si="49"/>
        <v>Infiltratie</v>
      </c>
      <c r="BJ60" s="204" t="str">
        <f t="shared" si="49"/>
        <v>Kwel</v>
      </c>
      <c r="BK60" s="204" t="str">
        <f t="shared" si="49"/>
        <v>Mineralisatie &amp; uitloging</v>
      </c>
      <c r="BL60" s="204" t="str">
        <f t="shared" si="49"/>
        <v>Uit- en afspoeling natuur</v>
      </c>
      <c r="BM60" s="204" t="str">
        <f t="shared" si="49"/>
        <v xml:space="preserve">Directe kwel </v>
      </c>
      <c r="BN60" s="204" t="str">
        <f t="shared" si="49"/>
        <v>Overig agrarisch</v>
      </c>
      <c r="BO60" s="204" t="str">
        <f t="shared" si="49"/>
        <v>RWZI</v>
      </c>
      <c r="BP60" s="204" t="str">
        <f t="shared" si="49"/>
        <v>Industrie</v>
      </c>
      <c r="BQ60" s="204" t="str">
        <f t="shared" si="49"/>
        <v>Depositie open water</v>
      </c>
      <c r="BR60" s="204" t="str">
        <f t="shared" si="49"/>
        <v>Regenwaterriolen</v>
      </c>
      <c r="BS60" s="204" t="str">
        <f t="shared" si="49"/>
        <v>Inlaat Rijkswater</v>
      </c>
      <c r="BT60" s="205" t="str">
        <f t="shared" si="49"/>
        <v>Overige bronnen</v>
      </c>
    </row>
    <row r="61" spans="1:73" x14ac:dyDescent="0.3">
      <c r="L61" s="10"/>
      <c r="BD61" s="217">
        <f t="shared" ref="BD61:BD69" si="50">BD23</f>
        <v>37101</v>
      </c>
      <c r="BE61" s="10" t="str">
        <f t="shared" ref="BE61:BE69" si="51">BE23</f>
        <v>Tochten ABC1</v>
      </c>
      <c r="BF61" s="90"/>
      <c r="BG61" s="90">
        <f>BF23+BG23</f>
        <v>5.8465325781710591E-2</v>
      </c>
      <c r="BH61" s="90">
        <f t="shared" ref="BH61:BM69" si="52">BH23</f>
        <v>0</v>
      </c>
      <c r="BI61" s="90">
        <f t="shared" si="52"/>
        <v>1.4738242882544401E-4</v>
      </c>
      <c r="BJ61" s="90">
        <f t="shared" si="52"/>
        <v>7.7556449772599484E-2</v>
      </c>
      <c r="BK61" s="90">
        <f t="shared" si="52"/>
        <v>2.2118089169472555E-2</v>
      </c>
      <c r="BL61" s="90">
        <f t="shared" si="52"/>
        <v>0.20876155120447829</v>
      </c>
      <c r="BM61" s="90">
        <f t="shared" si="52"/>
        <v>0.55419645321131561</v>
      </c>
      <c r="BN61" s="90">
        <f t="shared" ref="BN61:BN69" si="53">BN23+BO23+BP23</f>
        <v>3.265737560653386E-2</v>
      </c>
      <c r="BO61" s="90">
        <f t="shared" ref="BO61:BQ69" si="54">BQ23</f>
        <v>0</v>
      </c>
      <c r="BP61" s="90">
        <f t="shared" si="54"/>
        <v>0</v>
      </c>
      <c r="BQ61" s="90">
        <f t="shared" si="54"/>
        <v>0</v>
      </c>
      <c r="BR61" s="90">
        <f t="shared" ref="BR61:BR69" si="55">BU23</f>
        <v>3.8089157937653974E-2</v>
      </c>
      <c r="BS61" s="90">
        <f t="shared" ref="BS61:BS69" si="56">BY23</f>
        <v>0</v>
      </c>
      <c r="BT61" s="218">
        <f t="shared" ref="BT61:BT69" si="57">BT23+BV23+BW23+BX23</f>
        <v>8.008214887410289E-3</v>
      </c>
      <c r="BU61" s="90">
        <f>SUM(BG61:BT61)</f>
        <v>1</v>
      </c>
    </row>
    <row r="62" spans="1:73" x14ac:dyDescent="0.3">
      <c r="H62" s="287"/>
      <c r="I62" s="287"/>
      <c r="J62" s="287"/>
      <c r="K62" s="287"/>
      <c r="L62" s="288"/>
      <c r="M62" s="287"/>
      <c r="N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BD62" s="217">
        <f t="shared" si="50"/>
        <v>37102</v>
      </c>
      <c r="BE62" s="10" t="str">
        <f t="shared" si="51"/>
        <v>Tochten ABC2</v>
      </c>
      <c r="BF62" s="90"/>
      <c r="BG62" s="90">
        <f t="shared" ref="BG62:BG69" si="58">BF24+BG24</f>
        <v>0.17921552226012377</v>
      </c>
      <c r="BH62" s="90">
        <f t="shared" si="52"/>
        <v>0</v>
      </c>
      <c r="BI62" s="90">
        <f t="shared" si="52"/>
        <v>3.0482488889816952E-4</v>
      </c>
      <c r="BJ62" s="90">
        <f t="shared" si="52"/>
        <v>0.13562912745295475</v>
      </c>
      <c r="BK62" s="90">
        <f t="shared" si="52"/>
        <v>7.9707275684092291E-2</v>
      </c>
      <c r="BL62" s="90">
        <f t="shared" si="52"/>
        <v>5.3725728071126182E-2</v>
      </c>
      <c r="BM62" s="90">
        <f t="shared" si="52"/>
        <v>0.48513730450787523</v>
      </c>
      <c r="BN62" s="90">
        <f t="shared" si="53"/>
        <v>2.8251519858802795E-2</v>
      </c>
      <c r="BO62" s="90">
        <f t="shared" si="54"/>
        <v>0</v>
      </c>
      <c r="BP62" s="90">
        <f t="shared" si="54"/>
        <v>0</v>
      </c>
      <c r="BQ62" s="90">
        <f t="shared" si="54"/>
        <v>0</v>
      </c>
      <c r="BR62" s="90">
        <f t="shared" si="55"/>
        <v>3.069815911097349E-2</v>
      </c>
      <c r="BS62" s="90">
        <f t="shared" si="56"/>
        <v>0</v>
      </c>
      <c r="BT62" s="218">
        <f t="shared" si="57"/>
        <v>7.3305381651534588E-3</v>
      </c>
      <c r="BU62" s="90">
        <f>SUM(BG62:BT62)</f>
        <v>1.0000000000000002</v>
      </c>
    </row>
    <row r="63" spans="1:73" x14ac:dyDescent="0.3">
      <c r="BD63" s="217">
        <f t="shared" si="50"/>
        <v>37103</v>
      </c>
      <c r="BE63" s="10" t="str">
        <f t="shared" si="51"/>
        <v>Tochten DE Almere</v>
      </c>
      <c r="BF63" s="90"/>
      <c r="BG63" s="90">
        <f t="shared" si="58"/>
        <v>3.8734393257921808E-2</v>
      </c>
      <c r="BH63" s="90">
        <f t="shared" si="52"/>
        <v>0</v>
      </c>
      <c r="BI63" s="90">
        <f t="shared" si="52"/>
        <v>4.235670157188453E-5</v>
      </c>
      <c r="BJ63" s="90">
        <f t="shared" si="52"/>
        <v>6.6327849196568631E-2</v>
      </c>
      <c r="BK63" s="90">
        <f t="shared" si="52"/>
        <v>1.1753749581615743E-2</v>
      </c>
      <c r="BL63" s="90">
        <f t="shared" si="52"/>
        <v>0.18557649608875387</v>
      </c>
      <c r="BM63" s="90">
        <f t="shared" si="52"/>
        <v>3.6696811489417065E-2</v>
      </c>
      <c r="BN63" s="90">
        <f t="shared" si="53"/>
        <v>8.3109491321495515E-3</v>
      </c>
      <c r="BO63" s="90">
        <f t="shared" si="54"/>
        <v>0</v>
      </c>
      <c r="BP63" s="90">
        <f t="shared" si="54"/>
        <v>0</v>
      </c>
      <c r="BQ63" s="90">
        <f t="shared" si="54"/>
        <v>0</v>
      </c>
      <c r="BR63" s="90">
        <f t="shared" si="55"/>
        <v>0.58958012561549211</v>
      </c>
      <c r="BS63" s="90">
        <f t="shared" si="56"/>
        <v>9.3879464078252452E-3</v>
      </c>
      <c r="BT63" s="218">
        <f t="shared" si="57"/>
        <v>5.3589322528683966E-2</v>
      </c>
      <c r="BU63" s="90">
        <f t="shared" ref="BU63:BU73" si="59">SUM(BG63:BT63)</f>
        <v>0.99999999999999989</v>
      </c>
    </row>
    <row r="64" spans="1:73" x14ac:dyDescent="0.3">
      <c r="BD64" s="217">
        <f t="shared" si="50"/>
        <v>37104</v>
      </c>
      <c r="BE64" s="10" t="str">
        <f t="shared" si="51"/>
        <v>Tochten DE Zuidlob</v>
      </c>
      <c r="BF64" s="90"/>
      <c r="BG64" s="90">
        <f t="shared" si="58"/>
        <v>0.19166443549867007</v>
      </c>
      <c r="BH64" s="90">
        <f t="shared" si="52"/>
        <v>0</v>
      </c>
      <c r="BI64" s="90">
        <f t="shared" si="52"/>
        <v>3.4442634360352828E-4</v>
      </c>
      <c r="BJ64" s="90">
        <f t="shared" si="52"/>
        <v>6.3310662425755351E-2</v>
      </c>
      <c r="BK64" s="90">
        <f t="shared" si="52"/>
        <v>0.11443929226525047</v>
      </c>
      <c r="BL64" s="90">
        <f t="shared" si="52"/>
        <v>7.1347307263443099E-2</v>
      </c>
      <c r="BM64" s="90">
        <f t="shared" si="52"/>
        <v>0.2052361674191156</v>
      </c>
      <c r="BN64" s="90">
        <f t="shared" si="53"/>
        <v>4.6384223774488045E-2</v>
      </c>
      <c r="BO64" s="90">
        <f t="shared" si="54"/>
        <v>0</v>
      </c>
      <c r="BP64" s="90">
        <f t="shared" si="54"/>
        <v>0</v>
      </c>
      <c r="BQ64" s="90">
        <f t="shared" si="54"/>
        <v>0</v>
      </c>
      <c r="BR64" s="90">
        <f t="shared" si="55"/>
        <v>0.29962937246901883</v>
      </c>
      <c r="BS64" s="90">
        <f t="shared" si="56"/>
        <v>0</v>
      </c>
      <c r="BT64" s="218">
        <f t="shared" si="57"/>
        <v>7.6441125406550552E-3</v>
      </c>
      <c r="BU64" s="90">
        <f t="shared" si="59"/>
        <v>1</v>
      </c>
    </row>
    <row r="65" spans="8:73" x14ac:dyDescent="0.3">
      <c r="BD65" s="217">
        <f t="shared" si="50"/>
        <v>37105</v>
      </c>
      <c r="BE65" s="10" t="str">
        <f t="shared" si="51"/>
        <v>Tochten FGIK</v>
      </c>
      <c r="BF65" s="90"/>
      <c r="BG65" s="90">
        <f t="shared" si="58"/>
        <v>0.29913701477531029</v>
      </c>
      <c r="BH65" s="90">
        <f t="shared" si="52"/>
        <v>0</v>
      </c>
      <c r="BI65" s="90">
        <f t="shared" si="52"/>
        <v>3.1787226894984495E-4</v>
      </c>
      <c r="BJ65" s="90">
        <f t="shared" si="52"/>
        <v>6.2415380540111413E-2</v>
      </c>
      <c r="BK65" s="90">
        <f t="shared" si="52"/>
        <v>0.12803567945064873</v>
      </c>
      <c r="BL65" s="90">
        <f t="shared" si="52"/>
        <v>3.5937248956582173E-2</v>
      </c>
      <c r="BM65" s="90">
        <f t="shared" si="52"/>
        <v>0.26787912625876203</v>
      </c>
      <c r="BN65" s="90">
        <f t="shared" si="53"/>
        <v>2.2736179767503476E-2</v>
      </c>
      <c r="BO65" s="90">
        <f t="shared" si="54"/>
        <v>7.403565538623109E-4</v>
      </c>
      <c r="BP65" s="90">
        <f t="shared" si="54"/>
        <v>0</v>
      </c>
      <c r="BQ65" s="90">
        <f t="shared" si="54"/>
        <v>0</v>
      </c>
      <c r="BR65" s="90">
        <f t="shared" si="55"/>
        <v>0.16094211058068711</v>
      </c>
      <c r="BS65" s="90">
        <f t="shared" si="56"/>
        <v>1.4863328704398436E-3</v>
      </c>
      <c r="BT65" s="218">
        <f t="shared" si="57"/>
        <v>2.0372697977142969E-2</v>
      </c>
      <c r="BU65" s="90">
        <f t="shared" si="59"/>
        <v>1.0000000000000002</v>
      </c>
    </row>
    <row r="66" spans="8:73" x14ac:dyDescent="0.3">
      <c r="BD66" s="217">
        <f t="shared" si="50"/>
        <v>37106</v>
      </c>
      <c r="BE66" s="10" t="str">
        <f t="shared" si="51"/>
        <v>Tochten FGIK ZUID</v>
      </c>
      <c r="BF66" s="90"/>
      <c r="BG66" s="90">
        <f t="shared" si="58"/>
        <v>0.4236301566342322</v>
      </c>
      <c r="BH66" s="90">
        <f t="shared" si="52"/>
        <v>0</v>
      </c>
      <c r="BI66" s="90">
        <f t="shared" si="52"/>
        <v>2.2118112722720087E-4</v>
      </c>
      <c r="BJ66" s="90">
        <f t="shared" si="52"/>
        <v>6.4812028884752154E-2</v>
      </c>
      <c r="BK66" s="90">
        <f t="shared" si="52"/>
        <v>0.27644648979373909</v>
      </c>
      <c r="BL66" s="90">
        <f t="shared" si="52"/>
        <v>6.0499713609192825E-2</v>
      </c>
      <c r="BM66" s="90">
        <f t="shared" si="52"/>
        <v>5.495527372956327E-2</v>
      </c>
      <c r="BN66" s="90">
        <f t="shared" si="53"/>
        <v>6.2813503091409206E-2</v>
      </c>
      <c r="BO66" s="90">
        <f t="shared" si="54"/>
        <v>1.1240328869953006E-3</v>
      </c>
      <c r="BP66" s="90">
        <f t="shared" si="54"/>
        <v>0</v>
      </c>
      <c r="BQ66" s="90">
        <f t="shared" si="54"/>
        <v>0</v>
      </c>
      <c r="BR66" s="90">
        <f t="shared" si="55"/>
        <v>3.8955917401269038E-2</v>
      </c>
      <c r="BS66" s="90">
        <f t="shared" si="56"/>
        <v>1.3771272412583593E-3</v>
      </c>
      <c r="BT66" s="218">
        <f t="shared" si="57"/>
        <v>1.5164575600361233E-2</v>
      </c>
      <c r="BU66" s="90">
        <f t="shared" si="59"/>
        <v>0.99999999999999989</v>
      </c>
    </row>
    <row r="67" spans="8:73" x14ac:dyDescent="0.3">
      <c r="BD67" s="217">
        <f t="shared" si="50"/>
        <v>37107</v>
      </c>
      <c r="BE67" s="10" t="str">
        <f t="shared" si="51"/>
        <v>Tochten H</v>
      </c>
      <c r="BF67" s="90"/>
      <c r="BG67" s="90">
        <f t="shared" si="58"/>
        <v>0.34235813600507359</v>
      </c>
      <c r="BH67" s="90">
        <f t="shared" si="52"/>
        <v>0</v>
      </c>
      <c r="BI67" s="90">
        <f t="shared" si="52"/>
        <v>3.0671246390369308E-4</v>
      </c>
      <c r="BJ67" s="90">
        <f t="shared" si="52"/>
        <v>2.5439104731968479E-2</v>
      </c>
      <c r="BK67" s="90">
        <f t="shared" si="52"/>
        <v>0.16318450231321247</v>
      </c>
      <c r="BL67" s="90">
        <f t="shared" si="52"/>
        <v>1.3065876574151722E-2</v>
      </c>
      <c r="BM67" s="90">
        <f t="shared" si="52"/>
        <v>0.347744462323265</v>
      </c>
      <c r="BN67" s="90">
        <f t="shared" si="53"/>
        <v>2.5189359258429144E-2</v>
      </c>
      <c r="BO67" s="90">
        <f t="shared" si="54"/>
        <v>7.4261615587092921E-3</v>
      </c>
      <c r="BP67" s="90">
        <f t="shared" si="54"/>
        <v>0</v>
      </c>
      <c r="BQ67" s="90">
        <f t="shared" si="54"/>
        <v>0</v>
      </c>
      <c r="BR67" s="90">
        <f t="shared" si="55"/>
        <v>5.2984670339145092E-2</v>
      </c>
      <c r="BS67" s="90">
        <f t="shared" si="56"/>
        <v>9.1459614676961884E-3</v>
      </c>
      <c r="BT67" s="218">
        <f t="shared" si="57"/>
        <v>1.3155052964445324E-2</v>
      </c>
      <c r="BU67" s="90">
        <f t="shared" si="59"/>
        <v>0.99999999999999989</v>
      </c>
    </row>
    <row r="68" spans="8:73" x14ac:dyDescent="0.3">
      <c r="BD68" s="217">
        <f t="shared" si="50"/>
        <v>37108</v>
      </c>
      <c r="BE68" s="10" t="str">
        <f t="shared" si="51"/>
        <v>Tochten J</v>
      </c>
      <c r="BF68" s="90"/>
      <c r="BG68" s="90">
        <f t="shared" si="58"/>
        <v>0.27102489408410602</v>
      </c>
      <c r="BH68" s="90">
        <f t="shared" si="52"/>
        <v>0</v>
      </c>
      <c r="BI68" s="90">
        <f t="shared" si="52"/>
        <v>2.619745299589972E-4</v>
      </c>
      <c r="BJ68" s="90">
        <f t="shared" si="52"/>
        <v>0.18490438744657228</v>
      </c>
      <c r="BK68" s="90">
        <f t="shared" si="52"/>
        <v>6.3994787834246489E-2</v>
      </c>
      <c r="BL68" s="90">
        <f t="shared" si="52"/>
        <v>5.1227136377282406E-2</v>
      </c>
      <c r="BM68" s="90">
        <f t="shared" si="52"/>
        <v>0.23762358825504973</v>
      </c>
      <c r="BN68" s="90">
        <f t="shared" si="53"/>
        <v>2.6921631270640733E-2</v>
      </c>
      <c r="BO68" s="90">
        <f t="shared" si="54"/>
        <v>0</v>
      </c>
      <c r="BP68" s="90">
        <f t="shared" si="54"/>
        <v>0</v>
      </c>
      <c r="BQ68" s="90">
        <f t="shared" si="54"/>
        <v>0</v>
      </c>
      <c r="BR68" s="90">
        <f t="shared" si="55"/>
        <v>0.1456748245485085</v>
      </c>
      <c r="BS68" s="90">
        <f t="shared" si="56"/>
        <v>3.960713726373727E-3</v>
      </c>
      <c r="BT68" s="218">
        <f t="shared" si="57"/>
        <v>1.4406061927261094E-2</v>
      </c>
      <c r="BU68" s="90">
        <f t="shared" si="59"/>
        <v>0.99999999999999989</v>
      </c>
    </row>
    <row r="69" spans="8:73" x14ac:dyDescent="0.3">
      <c r="BD69" s="217">
        <f t="shared" si="50"/>
        <v>37109</v>
      </c>
      <c r="BE69" s="10" t="str">
        <f t="shared" si="51"/>
        <v>Tochten lage afdeling NOP</v>
      </c>
      <c r="BF69" s="90"/>
      <c r="BG69" s="90">
        <f t="shared" si="58"/>
        <v>0.36389398497986863</v>
      </c>
      <c r="BH69" s="90">
        <f t="shared" si="52"/>
        <v>0</v>
      </c>
      <c r="BI69" s="90">
        <f t="shared" si="52"/>
        <v>3.9895611034666481E-4</v>
      </c>
      <c r="BJ69" s="90">
        <f t="shared" si="52"/>
        <v>0.2060873224155475</v>
      </c>
      <c r="BK69" s="90">
        <f t="shared" si="52"/>
        <v>0.11435047334209712</v>
      </c>
      <c r="BL69" s="90">
        <f t="shared" si="52"/>
        <v>1.9859738324892393E-2</v>
      </c>
      <c r="BM69" s="90">
        <f t="shared" si="52"/>
        <v>0.15351306445504087</v>
      </c>
      <c r="BN69" s="90">
        <f t="shared" si="53"/>
        <v>4.2198025372982867E-2</v>
      </c>
      <c r="BO69" s="90">
        <f t="shared" si="54"/>
        <v>8.191045955377568E-3</v>
      </c>
      <c r="BP69" s="90">
        <f t="shared" si="54"/>
        <v>1.1880954777079647E-6</v>
      </c>
      <c r="BQ69" s="90">
        <f t="shared" si="54"/>
        <v>0</v>
      </c>
      <c r="BR69" s="90">
        <f t="shared" si="55"/>
        <v>1.510570858209462E-2</v>
      </c>
      <c r="BS69" s="90">
        <f t="shared" si="56"/>
        <v>6.5665525170323188E-2</v>
      </c>
      <c r="BT69" s="218">
        <f t="shared" si="57"/>
        <v>1.0734967195951017E-2</v>
      </c>
      <c r="BU69" s="90">
        <f t="shared" si="59"/>
        <v>1.0000000000000002</v>
      </c>
    </row>
    <row r="70" spans="8:73" x14ac:dyDescent="0.3">
      <c r="BD70" s="217">
        <f t="shared" ref="BD70:BE73" si="60">BD33</f>
        <v>37111</v>
      </c>
      <c r="BE70" s="10" t="str">
        <f t="shared" si="60"/>
        <v>Tochten hoge afdeling NOP</v>
      </c>
      <c r="BF70" s="90"/>
      <c r="BG70" s="90">
        <f>BF33+BG33</f>
        <v>0.32408511479696295</v>
      </c>
      <c r="BH70" s="90">
        <f t="shared" ref="BH70:BM73" si="61">BH33</f>
        <v>0</v>
      </c>
      <c r="BI70" s="90">
        <f t="shared" si="61"/>
        <v>2.5346348390938565E-4</v>
      </c>
      <c r="BJ70" s="90">
        <f t="shared" si="61"/>
        <v>0.133300590186989</v>
      </c>
      <c r="BK70" s="90">
        <f t="shared" si="61"/>
        <v>0.10035379572415902</v>
      </c>
      <c r="BL70" s="90">
        <f t="shared" si="61"/>
        <v>1.2046979316812241E-2</v>
      </c>
      <c r="BM70" s="90">
        <f t="shared" si="61"/>
        <v>0.15004927855436981</v>
      </c>
      <c r="BN70" s="90">
        <f>BN33+BO33+BP33</f>
        <v>4.8534320211070958E-2</v>
      </c>
      <c r="BO70" s="90">
        <f t="shared" ref="BO70:BQ73" si="62">BQ33</f>
        <v>1.1406354056351524E-4</v>
      </c>
      <c r="BP70" s="90">
        <f t="shared" si="62"/>
        <v>2.1017288235458237E-8</v>
      </c>
      <c r="BQ70" s="90">
        <f t="shared" si="62"/>
        <v>0</v>
      </c>
      <c r="BR70" s="90">
        <f>BU33</f>
        <v>5.4263839850971713E-3</v>
      </c>
      <c r="BS70" s="90">
        <f>BY33</f>
        <v>0.2202868564918371</v>
      </c>
      <c r="BT70" s="218">
        <f>BT33+BV33+BW33+BX33</f>
        <v>5.5491326909405496E-3</v>
      </c>
      <c r="BU70" s="90">
        <f t="shared" si="59"/>
        <v>1</v>
      </c>
    </row>
    <row r="71" spans="8:73" x14ac:dyDescent="0.3">
      <c r="BD71" s="217">
        <f t="shared" si="60"/>
        <v>37112</v>
      </c>
      <c r="BE71" s="10" t="str">
        <f t="shared" si="60"/>
        <v>Vaarten NOP</v>
      </c>
      <c r="BF71" s="90"/>
      <c r="BG71" s="90">
        <f>BF34+BG34</f>
        <v>0.23021959640965334</v>
      </c>
      <c r="BH71" s="90">
        <f t="shared" si="61"/>
        <v>0</v>
      </c>
      <c r="BI71" s="90">
        <f t="shared" si="61"/>
        <v>2.7254414608901415E-4</v>
      </c>
      <c r="BJ71" s="90">
        <f t="shared" si="61"/>
        <v>0.12233475881186939</v>
      </c>
      <c r="BK71" s="90">
        <f t="shared" si="61"/>
        <v>7.4148510598034498E-2</v>
      </c>
      <c r="BL71" s="90">
        <f t="shared" si="61"/>
        <v>1.5166042276484347E-2</v>
      </c>
      <c r="BM71" s="90">
        <f t="shared" si="61"/>
        <v>0.26395464800954482</v>
      </c>
      <c r="BN71" s="90">
        <f>BN34+BO34+BP34</f>
        <v>2.7966545793127923E-2</v>
      </c>
      <c r="BO71" s="90">
        <f t="shared" si="62"/>
        <v>0.14519577054011801</v>
      </c>
      <c r="BP71" s="90">
        <f t="shared" si="62"/>
        <v>9.8362338995176309E-7</v>
      </c>
      <c r="BQ71" s="90">
        <f t="shared" si="62"/>
        <v>0</v>
      </c>
      <c r="BR71" s="90">
        <f>BU34</f>
        <v>1.2786839008348663E-2</v>
      </c>
      <c r="BS71" s="90">
        <f>BY34</f>
        <v>9.5902875154384767E-2</v>
      </c>
      <c r="BT71" s="218">
        <f>BT34+BV34+BW34+BX34</f>
        <v>1.2050885628955179E-2</v>
      </c>
      <c r="BU71" s="90">
        <f t="shared" si="59"/>
        <v>1</v>
      </c>
    </row>
    <row r="72" spans="8:73" x14ac:dyDescent="0.3">
      <c r="BD72" s="217">
        <f t="shared" si="60"/>
        <v>37113</v>
      </c>
      <c r="BE72" s="10" t="str">
        <f t="shared" si="60"/>
        <v>Vaarten hoge afdeling ZOF</v>
      </c>
      <c r="BF72" s="90"/>
      <c r="BG72" s="90">
        <f>BF35+BG35</f>
        <v>0.1531397622134322</v>
      </c>
      <c r="BH72" s="90">
        <f t="shared" si="61"/>
        <v>0</v>
      </c>
      <c r="BI72" s="90">
        <f t="shared" si="61"/>
        <v>1.8376030728789981E-4</v>
      </c>
      <c r="BJ72" s="90">
        <f t="shared" si="61"/>
        <v>7.5540453644794822E-2</v>
      </c>
      <c r="BK72" s="90">
        <f t="shared" si="61"/>
        <v>7.1204799078271333E-2</v>
      </c>
      <c r="BL72" s="90">
        <f t="shared" si="61"/>
        <v>7.1055229018239088E-2</v>
      </c>
      <c r="BM72" s="90">
        <f t="shared" si="61"/>
        <v>0.36883449411847002</v>
      </c>
      <c r="BN72" s="90">
        <f>BN35+BO35+BP35</f>
        <v>2.1102880030794836E-2</v>
      </c>
      <c r="BO72" s="90">
        <f t="shared" si="62"/>
        <v>2.6169508133511876E-2</v>
      </c>
      <c r="BP72" s="90">
        <f t="shared" si="62"/>
        <v>0</v>
      </c>
      <c r="BQ72" s="90">
        <f t="shared" si="62"/>
        <v>0</v>
      </c>
      <c r="BR72" s="90">
        <f>BU35</f>
        <v>0.16352563258705968</v>
      </c>
      <c r="BS72" s="90">
        <f>BY35</f>
        <v>2.4593225165559802E-2</v>
      </c>
      <c r="BT72" s="218">
        <f>BT35+BV35+BW35+BX35</f>
        <v>2.4650255702578394E-2</v>
      </c>
      <c r="BU72" s="90">
        <f t="shared" si="59"/>
        <v>1</v>
      </c>
    </row>
    <row r="73" spans="8:73" x14ac:dyDescent="0.3">
      <c r="BD73" s="217">
        <f t="shared" si="60"/>
        <v>37114</v>
      </c>
      <c r="BE73" s="10" t="str">
        <f t="shared" si="60"/>
        <v>Vaarten Lage afdeling ZOF</v>
      </c>
      <c r="BF73" s="90"/>
      <c r="BG73" s="90">
        <f>BF36+BG36</f>
        <v>0.14739408607640209</v>
      </c>
      <c r="BH73" s="90">
        <f t="shared" si="61"/>
        <v>0</v>
      </c>
      <c r="BI73" s="90">
        <f t="shared" si="61"/>
        <v>1.4380291452006255E-4</v>
      </c>
      <c r="BJ73" s="90">
        <f t="shared" si="61"/>
        <v>4.0423880501781688E-2</v>
      </c>
      <c r="BK73" s="90">
        <f t="shared" si="61"/>
        <v>6.2826866831451736E-2</v>
      </c>
      <c r="BL73" s="90">
        <f t="shared" si="61"/>
        <v>3.8246881676774196E-2</v>
      </c>
      <c r="BM73" s="90">
        <f t="shared" si="61"/>
        <v>0.31934998625925776</v>
      </c>
      <c r="BN73" s="90">
        <f>BN36+BO36+BP36</f>
        <v>1.8101601927974012E-2</v>
      </c>
      <c r="BO73" s="90">
        <f t="shared" si="62"/>
        <v>0.20517458127969118</v>
      </c>
      <c r="BP73" s="90">
        <f t="shared" si="62"/>
        <v>0</v>
      </c>
      <c r="BQ73" s="90">
        <f t="shared" si="62"/>
        <v>0</v>
      </c>
      <c r="BR73" s="90">
        <f>BU36</f>
        <v>0.12018695278450839</v>
      </c>
      <c r="BS73" s="90">
        <f>BY36</f>
        <v>7.1139122907292428E-3</v>
      </c>
      <c r="BT73" s="218">
        <f>BT36+BV36+BW36+BX36</f>
        <v>4.1037447456909834E-2</v>
      </c>
      <c r="BU73" s="90">
        <f t="shared" si="59"/>
        <v>1.0000000000000002</v>
      </c>
    </row>
    <row r="74" spans="8:73" ht="15" thickBot="1" x14ac:dyDescent="0.35">
      <c r="BD74" s="225"/>
      <c r="BE74" s="226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8"/>
    </row>
    <row r="77" spans="8:73" x14ac:dyDescent="0.3">
      <c r="H77" s="274"/>
      <c r="I77" s="274"/>
      <c r="J77" s="274"/>
      <c r="K77" s="274"/>
      <c r="L77" s="274"/>
      <c r="M77" s="274"/>
      <c r="N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</row>
  </sheetData>
  <mergeCells count="30">
    <mergeCell ref="BD42:BF42"/>
    <mergeCell ref="BD60:BF60"/>
    <mergeCell ref="C3:F3"/>
    <mergeCell ref="G3:M3"/>
    <mergeCell ref="O3:Q3"/>
    <mergeCell ref="R3:Y3"/>
    <mergeCell ref="Z3:AB3"/>
    <mergeCell ref="C21:F21"/>
    <mergeCell ref="G21:M21"/>
    <mergeCell ref="O21:Q21"/>
    <mergeCell ref="R21:Y21"/>
    <mergeCell ref="Z21:AB21"/>
    <mergeCell ref="BD59:BT59"/>
    <mergeCell ref="AC21:AE21"/>
    <mergeCell ref="G41:J41"/>
    <mergeCell ref="AG21:AM21"/>
    <mergeCell ref="AO21:AQ21"/>
    <mergeCell ref="AR21:AY21"/>
    <mergeCell ref="AZ21:BA21"/>
    <mergeCell ref="AC3:AE3"/>
    <mergeCell ref="AG3:AM3"/>
    <mergeCell ref="AO3:AQ3"/>
    <mergeCell ref="AR3:AY3"/>
    <mergeCell ref="AZ3:BA3"/>
    <mergeCell ref="CA4:CB4"/>
    <mergeCell ref="K41:S41"/>
    <mergeCell ref="T41:U41"/>
    <mergeCell ref="V41:W41"/>
    <mergeCell ref="BD41:BT41"/>
    <mergeCell ref="CA22:CB22"/>
  </mergeCells>
  <conditionalFormatting sqref="J41:K42 K43:K54">
    <cfRule type="cellIs" dxfId="19" priority="7" operator="equal">
      <formula>"ja"</formula>
    </cfRule>
  </conditionalFormatting>
  <conditionalFormatting sqref="BF5:BY18">
    <cfRule type="cellIs" dxfId="18" priority="4" operator="lessThan">
      <formula>0.02</formula>
    </cfRule>
    <cfRule type="cellIs" dxfId="17" priority="5" operator="greaterThan">
      <formula>0.2</formula>
    </cfRule>
    <cfRule type="cellIs" dxfId="16" priority="6" operator="between">
      <formula>0.1</formula>
      <formula>0.2</formula>
    </cfRule>
  </conditionalFormatting>
  <conditionalFormatting sqref="BF23:BY36">
    <cfRule type="cellIs" dxfId="15" priority="1" operator="lessThan">
      <formula>0.02</formula>
    </cfRule>
    <cfRule type="cellIs" dxfId="14" priority="2" operator="greaterThan">
      <formula>0.2</formula>
    </cfRule>
    <cfRule type="cellIs" dxfId="13" priority="3" operator="between">
      <formula>0.1</formula>
      <formula>0.2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5773-D304-4071-AEF5-F498ED422444}">
  <dimension ref="A1:CB118"/>
  <sheetViews>
    <sheetView zoomScaleNormal="100" workbookViewId="0"/>
  </sheetViews>
  <sheetFormatPr defaultColWidth="8.88671875" defaultRowHeight="14.4" x14ac:dyDescent="0.3"/>
  <cols>
    <col min="1" max="1" width="8.88671875" style="5"/>
    <col min="2" max="2" width="24.109375" bestFit="1" customWidth="1"/>
    <col min="3" max="4" width="11.6640625" customWidth="1"/>
    <col min="5" max="5" width="9.6640625" hidden="1" customWidth="1"/>
    <col min="6" max="6" width="9.6640625" customWidth="1"/>
    <col min="7" max="7" width="13.44140625" bestFit="1" customWidth="1"/>
    <col min="8" max="8" width="15.109375" bestFit="1" customWidth="1"/>
    <col min="9" max="9" width="14.109375" bestFit="1" customWidth="1"/>
    <col min="10" max="10" width="12.33203125" customWidth="1"/>
    <col min="11" max="11" width="18" bestFit="1" customWidth="1"/>
    <col min="12" max="12" width="12.6640625" customWidth="1"/>
    <col min="13" max="13" width="14.109375" bestFit="1" customWidth="1"/>
    <col min="14" max="14" width="17.5546875" customWidth="1"/>
    <col min="15" max="15" width="15.109375" bestFit="1" customWidth="1"/>
    <col min="16" max="17" width="12.88671875" bestFit="1" customWidth="1"/>
    <col min="18" max="18" width="13.6640625" bestFit="1" customWidth="1"/>
    <col min="19" max="19" width="12" customWidth="1"/>
    <col min="20" max="20" width="11.33203125" customWidth="1"/>
    <col min="21" max="21" width="14.109375" bestFit="1" customWidth="1"/>
    <col min="22" max="23" width="15.6640625" customWidth="1"/>
    <col min="24" max="24" width="12.88671875" bestFit="1" customWidth="1"/>
    <col min="25" max="25" width="11.88671875" bestFit="1" customWidth="1"/>
    <col min="26" max="26" width="12.44140625" bestFit="1" customWidth="1"/>
    <col min="27" max="27" width="15.109375" bestFit="1" customWidth="1"/>
    <col min="28" max="28" width="11.33203125" customWidth="1"/>
    <col min="29" max="29" width="14.109375" bestFit="1" customWidth="1"/>
    <col min="30" max="30" width="15.109375" bestFit="1" customWidth="1"/>
    <col min="31" max="31" width="14.109375" bestFit="1" customWidth="1"/>
    <col min="32" max="32" width="36.88671875" bestFit="1" customWidth="1"/>
    <col min="33" max="33" width="11.88671875" bestFit="1" customWidth="1"/>
    <col min="34" max="35" width="14.109375" bestFit="1" customWidth="1"/>
    <col min="36" max="36" width="12.88671875" bestFit="1" customWidth="1"/>
    <col min="37" max="37" width="15.109375" bestFit="1" customWidth="1"/>
    <col min="38" max="38" width="12.6640625" customWidth="1"/>
    <col min="39" max="40" width="12.88671875" bestFit="1" customWidth="1"/>
    <col min="41" max="43" width="10.6640625" customWidth="1"/>
    <col min="44" max="44" width="11.88671875" bestFit="1" customWidth="1"/>
    <col min="45" max="45" width="14.109375" bestFit="1" customWidth="1"/>
    <col min="46" max="46" width="12.88671875" bestFit="1" customWidth="1"/>
    <col min="47" max="47" width="10.6640625" bestFit="1" customWidth="1"/>
    <col min="48" max="48" width="9.88671875" customWidth="1"/>
    <col min="49" max="50" width="15.109375" bestFit="1" customWidth="1"/>
    <col min="51" max="51" width="16.33203125" bestFit="1" customWidth="1"/>
    <col min="52" max="52" width="9.33203125" bestFit="1" customWidth="1"/>
    <col min="53" max="53" width="9.5546875" customWidth="1"/>
    <col min="54" max="54" width="12.33203125" customWidth="1"/>
    <col min="57" max="57" width="23.88671875" bestFit="1" customWidth="1"/>
    <col min="80" max="80" width="3.33203125" customWidth="1"/>
  </cols>
  <sheetData>
    <row r="1" spans="1:80" s="5" customFormat="1" ht="15.6" x14ac:dyDescent="0.3">
      <c r="A1" s="1" t="s">
        <v>0</v>
      </c>
      <c r="B1" s="2"/>
      <c r="C1" s="2"/>
      <c r="D1" s="2"/>
      <c r="E1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CB1" s="6"/>
    </row>
    <row r="2" spans="1:80" x14ac:dyDescent="0.3">
      <c r="A2" s="9" t="s">
        <v>2</v>
      </c>
      <c r="AO2" s="8">
        <v>5459.4261617676475</v>
      </c>
      <c r="AP2" s="8">
        <v>4116.0154223765367</v>
      </c>
      <c r="AQ2" s="8">
        <v>20399.949161958059</v>
      </c>
      <c r="AR2" s="8">
        <v>1523.2280823892665</v>
      </c>
      <c r="AS2" s="8">
        <v>0</v>
      </c>
      <c r="AT2" s="8">
        <v>44085.504949967537</v>
      </c>
      <c r="AU2" s="8">
        <v>453.10221594268126</v>
      </c>
      <c r="AV2" s="8">
        <v>21649.202022740574</v>
      </c>
      <c r="AW2" s="8">
        <v>1087.3385237652349</v>
      </c>
      <c r="AX2" s="8">
        <v>193.12181977589813</v>
      </c>
      <c r="AY2" s="8">
        <v>2603.2115828742963</v>
      </c>
      <c r="AZ2" s="8">
        <v>162942.61862998165</v>
      </c>
      <c r="CB2" s="6"/>
    </row>
    <row r="3" spans="1:80" ht="14.7" customHeight="1" x14ac:dyDescent="0.3">
      <c r="A3" s="9"/>
      <c r="B3" s="9"/>
      <c r="C3" s="353" t="s">
        <v>194</v>
      </c>
      <c r="D3" s="354"/>
      <c r="E3" s="354"/>
      <c r="F3" s="355"/>
      <c r="G3" s="350" t="s">
        <v>5</v>
      </c>
      <c r="H3" s="350"/>
      <c r="I3" s="350"/>
      <c r="J3" s="350"/>
      <c r="K3" s="350"/>
      <c r="L3" s="350"/>
      <c r="M3" s="356"/>
      <c r="N3" s="11" t="s">
        <v>6</v>
      </c>
      <c r="O3" s="349" t="s">
        <v>7</v>
      </c>
      <c r="P3" s="350"/>
      <c r="Q3" s="356"/>
      <c r="R3" s="349" t="s">
        <v>8</v>
      </c>
      <c r="S3" s="350"/>
      <c r="T3" s="350"/>
      <c r="U3" s="350"/>
      <c r="V3" s="350"/>
      <c r="W3" s="350"/>
      <c r="X3" s="350"/>
      <c r="Y3" s="356"/>
      <c r="Z3" s="349" t="s">
        <v>9</v>
      </c>
      <c r="AA3" s="350"/>
      <c r="AB3" s="356"/>
      <c r="AC3" s="349" t="s">
        <v>10</v>
      </c>
      <c r="AD3" s="350"/>
      <c r="AE3" s="350"/>
      <c r="AF3" s="12" t="s">
        <v>11</v>
      </c>
      <c r="AG3" s="346" t="s">
        <v>5</v>
      </c>
      <c r="AH3" s="347"/>
      <c r="AI3" s="347"/>
      <c r="AJ3" s="347"/>
      <c r="AK3" s="347"/>
      <c r="AL3" s="347"/>
      <c r="AM3" s="348"/>
      <c r="AN3" s="13"/>
      <c r="AO3" s="346" t="s">
        <v>7</v>
      </c>
      <c r="AP3" s="347"/>
      <c r="AQ3" s="348"/>
      <c r="AR3" s="346" t="s">
        <v>8</v>
      </c>
      <c r="AS3" s="347"/>
      <c r="AT3" s="347"/>
      <c r="AU3" s="347"/>
      <c r="AV3" s="347"/>
      <c r="AW3" s="347"/>
      <c r="AX3" s="347"/>
      <c r="AY3" s="348"/>
      <c r="AZ3" s="346" t="s">
        <v>12</v>
      </c>
      <c r="BA3" s="348"/>
      <c r="BB3" s="14" t="s">
        <v>13</v>
      </c>
    </row>
    <row r="4" spans="1:80" s="16" customFormat="1" ht="43.2" customHeight="1" x14ac:dyDescent="0.3">
      <c r="A4" s="17" t="s">
        <v>19</v>
      </c>
      <c r="B4" s="18" t="s">
        <v>20</v>
      </c>
      <c r="C4" s="19" t="s">
        <v>21</v>
      </c>
      <c r="D4" s="20" t="s">
        <v>22</v>
      </c>
      <c r="E4" s="20" t="s">
        <v>23</v>
      </c>
      <c r="F4" s="21" t="s">
        <v>24</v>
      </c>
      <c r="G4" s="22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3" t="s">
        <v>31</v>
      </c>
      <c r="N4" s="297" t="s">
        <v>32</v>
      </c>
      <c r="O4" s="25" t="s">
        <v>33</v>
      </c>
      <c r="P4" s="22" t="s">
        <v>34</v>
      </c>
      <c r="Q4" s="23" t="s">
        <v>35</v>
      </c>
      <c r="R4" s="25" t="s">
        <v>36</v>
      </c>
      <c r="S4" s="22" t="s">
        <v>37</v>
      </c>
      <c r="T4" s="22" t="s">
        <v>38</v>
      </c>
      <c r="U4" s="22" t="s">
        <v>39</v>
      </c>
      <c r="V4" s="22" t="s">
        <v>40</v>
      </c>
      <c r="W4" s="22" t="s">
        <v>41</v>
      </c>
      <c r="X4" s="22" t="s">
        <v>42</v>
      </c>
      <c r="Y4" s="23" t="s">
        <v>43</v>
      </c>
      <c r="Z4" s="26" t="s">
        <v>44</v>
      </c>
      <c r="AA4" s="22" t="s">
        <v>45</v>
      </c>
      <c r="AB4" s="27" t="s">
        <v>46</v>
      </c>
      <c r="AC4" s="25" t="s">
        <v>47</v>
      </c>
      <c r="AD4" s="22" t="s">
        <v>48</v>
      </c>
      <c r="AE4" s="22" t="s">
        <v>49</v>
      </c>
      <c r="AF4" s="28" t="s">
        <v>20</v>
      </c>
      <c r="AG4" s="29" t="s">
        <v>25</v>
      </c>
      <c r="AH4" s="30" t="s">
        <v>26</v>
      </c>
      <c r="AI4" s="30" t="s">
        <v>27</v>
      </c>
      <c r="AJ4" s="30" t="s">
        <v>28</v>
      </c>
      <c r="AK4" s="30" t="s">
        <v>29</v>
      </c>
      <c r="AL4" s="30" t="s">
        <v>30</v>
      </c>
      <c r="AM4" s="27" t="s">
        <v>31</v>
      </c>
      <c r="AN4" s="31" t="s">
        <v>32</v>
      </c>
      <c r="AO4" s="29" t="s">
        <v>33</v>
      </c>
      <c r="AP4" s="30" t="s">
        <v>34</v>
      </c>
      <c r="AQ4" s="27" t="s">
        <v>35</v>
      </c>
      <c r="AR4" s="29" t="s">
        <v>36</v>
      </c>
      <c r="AS4" s="30" t="s">
        <v>37</v>
      </c>
      <c r="AT4" s="30" t="s">
        <v>38</v>
      </c>
      <c r="AU4" s="30" t="s">
        <v>39</v>
      </c>
      <c r="AV4" s="30" t="s">
        <v>40</v>
      </c>
      <c r="AW4" s="30" t="s">
        <v>41</v>
      </c>
      <c r="AX4" s="30" t="s">
        <v>42</v>
      </c>
      <c r="AY4" s="27" t="s">
        <v>43</v>
      </c>
      <c r="AZ4" s="29" t="s">
        <v>44</v>
      </c>
      <c r="BA4" s="27" t="s">
        <v>45</v>
      </c>
      <c r="BB4" s="27"/>
      <c r="BD4" s="32" t="s">
        <v>50</v>
      </c>
      <c r="BE4" s="33" t="s">
        <v>51</v>
      </c>
      <c r="BF4" s="34" t="str">
        <f>G4</f>
        <v>Bemesting
actueel</v>
      </c>
      <c r="BG4" s="34" t="str">
        <f t="shared" ref="BG4:BY4" si="0">H4</f>
        <v>Bemesting
historisch</v>
      </c>
      <c r="BH4" s="34" t="str">
        <f t="shared" si="0"/>
        <v>Depositie</v>
      </c>
      <c r="BI4" s="34" t="str">
        <f t="shared" si="0"/>
        <v>Infiltratie</v>
      </c>
      <c r="BJ4" s="34" t="str">
        <f t="shared" si="0"/>
        <v>Kwel</v>
      </c>
      <c r="BK4" s="34" t="str">
        <f t="shared" si="0"/>
        <v>Mineralisatie
en uitloging</v>
      </c>
      <c r="BL4" s="34" t="str">
        <f t="shared" si="0"/>
        <v>Natuur-
gronden</v>
      </c>
      <c r="BM4" s="34" t="str">
        <f t="shared" si="0"/>
        <v>Directe kwel</v>
      </c>
      <c r="BN4" s="34" t="str">
        <f t="shared" si="0"/>
        <v>Erfaf-
spoeling</v>
      </c>
      <c r="BO4" s="34" t="str">
        <f t="shared" si="0"/>
        <v>Glas-
tuinbouw</v>
      </c>
      <c r="BP4" s="34" t="str">
        <f t="shared" si="0"/>
        <v>Mee-
mesten</v>
      </c>
      <c r="BQ4" s="34" t="str">
        <f t="shared" si="0"/>
        <v>RWZI</v>
      </c>
      <c r="BR4" s="34" t="str">
        <f t="shared" si="0"/>
        <v>Industrie</v>
      </c>
      <c r="BS4" s="34" t="str">
        <f t="shared" si="0"/>
        <v>Depositie
open water</v>
      </c>
      <c r="BT4" s="34" t="str">
        <f t="shared" si="0"/>
        <v>Overstort</v>
      </c>
      <c r="BU4" s="34" t="str">
        <f t="shared" si="0"/>
        <v>Regen
waterriolen</v>
      </c>
      <c r="BV4" s="34" t="str">
        <f t="shared" si="0"/>
        <v>Water-
vogels</v>
      </c>
      <c r="BW4" s="34" t="str">
        <f t="shared" si="0"/>
        <v>Binnen-
vaart</v>
      </c>
      <c r="BX4" s="34" t="str">
        <f t="shared" si="0"/>
        <v>Overige</v>
      </c>
      <c r="BY4" s="34" t="str">
        <f t="shared" si="0"/>
        <v>Inlaat Rijkswater</v>
      </c>
      <c r="BZ4" s="35" t="s">
        <v>52</v>
      </c>
      <c r="CA4" s="359" t="s">
        <v>176</v>
      </c>
      <c r="CB4" s="360"/>
    </row>
    <row r="5" spans="1:80" x14ac:dyDescent="0.3">
      <c r="A5" s="57">
        <v>37101</v>
      </c>
      <c r="B5" s="9" t="s">
        <v>75</v>
      </c>
      <c r="C5" s="58">
        <f t="shared" ref="C5:C18" si="1">(SUMPRODUCT(G5:AA5,$G$19:$AA$19)+SUMPRODUCT(AG5:BA5,$AG$19:$BA$19))/AC5</f>
        <v>0.93594963170792977</v>
      </c>
      <c r="D5" s="59">
        <f>C5*F5</f>
        <v>0.98919476631175873</v>
      </c>
      <c r="E5" s="59">
        <v>2</v>
      </c>
      <c r="F5" s="60">
        <v>1.056888888888889</v>
      </c>
      <c r="G5" s="61">
        <v>2386.4111230994599</v>
      </c>
      <c r="H5" s="61">
        <v>423.61882885306352</v>
      </c>
      <c r="I5" s="61">
        <v>299.04142328183661</v>
      </c>
      <c r="J5" s="61">
        <v>5.5793494963446424</v>
      </c>
      <c r="K5" s="61">
        <v>2620.3585711465548</v>
      </c>
      <c r="L5" s="61">
        <v>813.17683015621901</v>
      </c>
      <c r="M5" s="62">
        <v>5951.7755049804018</v>
      </c>
      <c r="N5" s="63">
        <v>46211.446742082298</v>
      </c>
      <c r="O5" s="64">
        <v>276.39060969764279</v>
      </c>
      <c r="P5" s="61">
        <v>0</v>
      </c>
      <c r="Q5" s="62">
        <v>725.75922991885716</v>
      </c>
      <c r="R5" s="64">
        <v>0</v>
      </c>
      <c r="S5" s="61">
        <v>0</v>
      </c>
      <c r="T5" s="61">
        <v>3259.0834637940002</v>
      </c>
      <c r="U5" s="61">
        <v>9.3508414116857139</v>
      </c>
      <c r="V5" s="61">
        <v>247.46756585679501</v>
      </c>
      <c r="W5" s="61">
        <v>20.93148032465</v>
      </c>
      <c r="X5" s="61">
        <v>0</v>
      </c>
      <c r="Y5" s="62">
        <v>107.90869898383789</v>
      </c>
      <c r="Z5" s="65">
        <v>0</v>
      </c>
      <c r="AA5" s="61"/>
      <c r="AB5" s="66">
        <f>SUM(AG5:BA5)</f>
        <v>0</v>
      </c>
      <c r="AC5" s="64">
        <f t="shared" ref="AC5:AC18" si="2">SUM(G5:AB5)</f>
        <v>63358.300263083649</v>
      </c>
      <c r="AD5" s="61">
        <v>34327.7410954441</v>
      </c>
      <c r="AE5" s="62">
        <f>AC5-AD5</f>
        <v>29030.559167639549</v>
      </c>
      <c r="AF5" s="67" t="s">
        <v>76</v>
      </c>
      <c r="AG5" s="68"/>
      <c r="AH5" s="69"/>
      <c r="AI5" s="69"/>
      <c r="AJ5" s="69"/>
      <c r="AK5" s="69"/>
      <c r="AL5" s="69"/>
      <c r="AM5" s="66"/>
      <c r="AN5" s="69"/>
      <c r="AO5" s="68"/>
      <c r="AP5" s="69"/>
      <c r="AQ5" s="66"/>
      <c r="AR5" s="68"/>
      <c r="AS5" s="69"/>
      <c r="AT5" s="69"/>
      <c r="AU5" s="69"/>
      <c r="AV5" s="69"/>
      <c r="AW5" s="69"/>
      <c r="AX5" s="69"/>
      <c r="AY5" s="66"/>
      <c r="AZ5" s="68"/>
      <c r="BA5" s="66"/>
      <c r="BB5" s="70"/>
      <c r="BC5" s="10"/>
      <c r="BD5" s="71">
        <f t="shared" ref="BD5:BE18" si="3">A5</f>
        <v>37101</v>
      </c>
      <c r="BE5" s="8" t="str">
        <f t="shared" si="3"/>
        <v>Tochten ABC1</v>
      </c>
      <c r="BF5" s="7">
        <f>(G5+AG5)/$AC5</f>
        <v>3.7665327402886882E-2</v>
      </c>
      <c r="BG5" s="7">
        <f t="shared" ref="BG5:BV18" si="4">(H5+AH5)/$AC5</f>
        <v>6.6860825983977553E-3</v>
      </c>
      <c r="BH5" s="7">
        <f t="shared" si="4"/>
        <v>4.7198460507955906E-3</v>
      </c>
      <c r="BI5" s="7">
        <f t="shared" si="4"/>
        <v>8.8060277393450001E-5</v>
      </c>
      <c r="BJ5" s="7">
        <f t="shared" si="4"/>
        <v>4.1357778858744622E-2</v>
      </c>
      <c r="BK5" s="7">
        <f t="shared" si="4"/>
        <v>1.2834574582645877E-2</v>
      </c>
      <c r="BL5" s="7">
        <f t="shared" si="4"/>
        <v>9.3938370825397022E-2</v>
      </c>
      <c r="BM5" s="7">
        <f t="shared" si="4"/>
        <v>0.72936689510605235</v>
      </c>
      <c r="BN5" s="7">
        <f t="shared" si="4"/>
        <v>4.3623425589067542E-3</v>
      </c>
      <c r="BO5" s="7">
        <f t="shared" si="4"/>
        <v>0</v>
      </c>
      <c r="BP5" s="7">
        <f t="shared" si="4"/>
        <v>1.1454840595553793E-2</v>
      </c>
      <c r="BQ5" s="7">
        <f t="shared" si="4"/>
        <v>0</v>
      </c>
      <c r="BR5" s="7">
        <f t="shared" si="4"/>
        <v>0</v>
      </c>
      <c r="BS5" s="7">
        <f t="shared" si="4"/>
        <v>5.1438934603063174E-2</v>
      </c>
      <c r="BT5" s="7">
        <f t="shared" si="4"/>
        <v>1.4758668355776704E-4</v>
      </c>
      <c r="BU5" s="7">
        <f t="shared" si="4"/>
        <v>3.9058428781900967E-3</v>
      </c>
      <c r="BV5" s="7">
        <f t="shared" si="4"/>
        <v>3.3036682230640484E-4</v>
      </c>
      <c r="BW5" s="7">
        <f t="shared" ref="BW5:BY18" si="5">(X5+AX5)/$AC5</f>
        <v>0</v>
      </c>
      <c r="BX5" s="7">
        <f t="shared" si="5"/>
        <v>1.7031501561084648E-3</v>
      </c>
      <c r="BY5" s="7">
        <f t="shared" si="5"/>
        <v>0</v>
      </c>
      <c r="BZ5" s="72">
        <f>SUM(BF5:BY5)</f>
        <v>0.99999999999999989</v>
      </c>
      <c r="CA5" s="261">
        <f>SUMPRODUCT(BF5:BY5,BF19:BY19)</f>
        <v>0.93594963170792966</v>
      </c>
      <c r="CB5" s="74">
        <f>C5-CA5</f>
        <v>0</v>
      </c>
    </row>
    <row r="6" spans="1:80" x14ac:dyDescent="0.3">
      <c r="A6" s="91">
        <v>37102</v>
      </c>
      <c r="B6" s="92" t="s">
        <v>77</v>
      </c>
      <c r="C6" s="88">
        <f t="shared" si="1"/>
        <v>0.90017889598510281</v>
      </c>
      <c r="D6" s="93">
        <f t="shared" ref="D6:D18" si="6">C6*F6</f>
        <v>2.0543437963344622</v>
      </c>
      <c r="E6" s="93">
        <v>2.4</v>
      </c>
      <c r="F6" s="94">
        <v>2.2821505875077301</v>
      </c>
      <c r="G6" s="8">
        <v>11674.573930933309</v>
      </c>
      <c r="H6" s="8">
        <v>3187.7517441848649</v>
      </c>
      <c r="I6" s="8">
        <v>2908.5905376739511</v>
      </c>
      <c r="J6" s="8">
        <v>20.119712610863029</v>
      </c>
      <c r="K6" s="8">
        <v>14305.45077023231</v>
      </c>
      <c r="L6" s="8">
        <v>7568.5342682259143</v>
      </c>
      <c r="M6" s="95">
        <v>1337.194067977952</v>
      </c>
      <c r="N6" s="96">
        <v>114381.772587598</v>
      </c>
      <c r="O6" s="71">
        <v>563.56232030549995</v>
      </c>
      <c r="P6" s="8">
        <v>0</v>
      </c>
      <c r="Q6" s="95">
        <v>1579.1842845890001</v>
      </c>
      <c r="R6" s="71">
        <v>0</v>
      </c>
      <c r="S6" s="8">
        <v>0</v>
      </c>
      <c r="T6" s="8">
        <v>6847.3580901619998</v>
      </c>
      <c r="U6" s="8">
        <v>21.143249192107149</v>
      </c>
      <c r="V6" s="8">
        <v>481.9747517536336</v>
      </c>
      <c r="W6" s="8">
        <v>41.749051890850012</v>
      </c>
      <c r="X6" s="8">
        <v>0</v>
      </c>
      <c r="Y6" s="95">
        <v>217.3935883258122</v>
      </c>
      <c r="Z6" s="97">
        <v>0</v>
      </c>
      <c r="AA6" s="8"/>
      <c r="AB6" s="98">
        <f t="shared" ref="AB6:AB18" si="7">SUM(AG6:BA6)</f>
        <v>29030.559167639552</v>
      </c>
      <c r="AC6" s="71">
        <f t="shared" si="2"/>
        <v>194166.91212329562</v>
      </c>
      <c r="AD6" s="8">
        <v>21656.4304993806</v>
      </c>
      <c r="AE6" s="95">
        <f t="shared" ref="AE6:AE18" si="8">AC6-AD6</f>
        <v>172510.48162391502</v>
      </c>
      <c r="AF6" s="99" t="s">
        <v>78</v>
      </c>
      <c r="AG6" s="100">
        <v>1116.1540807521119</v>
      </c>
      <c r="AH6" s="101">
        <v>198.03379575796359</v>
      </c>
      <c r="AI6" s="101">
        <v>139.38529604034139</v>
      </c>
      <c r="AJ6" s="101">
        <v>2.6308938528043848</v>
      </c>
      <c r="AK6" s="101">
        <v>1212.4143574969639</v>
      </c>
      <c r="AL6" s="101">
        <v>379.22977176670338</v>
      </c>
      <c r="AM6" s="98">
        <v>2759.2685877098488</v>
      </c>
      <c r="AN6" s="101">
        <v>21096.044650356362</v>
      </c>
      <c r="AO6" s="100">
        <v>126.0354230587654</v>
      </c>
      <c r="AP6" s="101">
        <v>0</v>
      </c>
      <c r="AQ6" s="98">
        <v>332.00909679192898</v>
      </c>
      <c r="AR6" s="100">
        <v>0</v>
      </c>
      <c r="AS6" s="101">
        <v>0</v>
      </c>
      <c r="AT6" s="101">
        <v>1487.911738649073</v>
      </c>
      <c r="AU6" s="101">
        <v>4.4871590119678233</v>
      </c>
      <c r="AV6" s="101">
        <v>117.4976519863377</v>
      </c>
      <c r="AW6" s="101">
        <v>9.5554559456100403</v>
      </c>
      <c r="AX6" s="101">
        <v>0</v>
      </c>
      <c r="AY6" s="98">
        <v>49.901208462770548</v>
      </c>
      <c r="AZ6" s="100">
        <v>0</v>
      </c>
      <c r="BA6" s="98"/>
      <c r="BB6" s="102">
        <f t="shared" ref="BB6:BB18" si="9">SUM(AG6:BA6)</f>
        <v>29030.559167639552</v>
      </c>
      <c r="BC6" s="10"/>
      <c r="BD6" s="71">
        <f t="shared" si="3"/>
        <v>37102</v>
      </c>
      <c r="BE6" s="8" t="str">
        <f t="shared" si="3"/>
        <v>Tochten ABC2</v>
      </c>
      <c r="BF6" s="7">
        <f t="shared" ref="BF6:BF18" si="10">(G6+AG6)/$AC6</f>
        <v>6.5874910775546219E-2</v>
      </c>
      <c r="BG6" s="7">
        <f t="shared" si="4"/>
        <v>1.7437500050435272E-2</v>
      </c>
      <c r="BH6" s="7">
        <f t="shared" si="4"/>
        <v>1.5697709771368428E-2</v>
      </c>
      <c r="BI6" s="7">
        <f t="shared" si="4"/>
        <v>1.1717035727086611E-4</v>
      </c>
      <c r="BJ6" s="7">
        <f t="shared" si="4"/>
        <v>7.9920234390272724E-2</v>
      </c>
      <c r="BK6" s="7">
        <f t="shared" si="4"/>
        <v>4.0932638589554343E-2</v>
      </c>
      <c r="BL6" s="7">
        <f t="shared" si="4"/>
        <v>2.1097635075365235E-2</v>
      </c>
      <c r="BM6" s="7">
        <f t="shared" si="4"/>
        <v>0.69773894921873303</v>
      </c>
      <c r="BN6" s="7">
        <f t="shared" si="4"/>
        <v>3.5515718709394324E-3</v>
      </c>
      <c r="BO6" s="7">
        <f t="shared" si="4"/>
        <v>0</v>
      </c>
      <c r="BP6" s="7">
        <f t="shared" si="4"/>
        <v>9.8430435983208348E-3</v>
      </c>
      <c r="BQ6" s="7">
        <f t="shared" si="4"/>
        <v>0</v>
      </c>
      <c r="BR6" s="7">
        <f t="shared" si="4"/>
        <v>0</v>
      </c>
      <c r="BS6" s="7">
        <f t="shared" si="4"/>
        <v>4.2928374034800494E-2</v>
      </c>
      <c r="BT6" s="7">
        <f t="shared" si="4"/>
        <v>1.3200193546776759E-4</v>
      </c>
      <c r="BU6" s="7">
        <f t="shared" si="4"/>
        <v>3.0874076184479226E-3</v>
      </c>
      <c r="BV6" s="7">
        <f t="shared" si="4"/>
        <v>2.6422889088271534E-4</v>
      </c>
      <c r="BW6" s="7">
        <f t="shared" si="5"/>
        <v>0</v>
      </c>
      <c r="BX6" s="7">
        <f t="shared" si="5"/>
        <v>1.376623822594712E-3</v>
      </c>
      <c r="BY6" s="7">
        <f t="shared" si="5"/>
        <v>0</v>
      </c>
      <c r="BZ6" s="72">
        <f t="shared" ref="BZ6:BZ36" si="11">SUM(BF6:BY6)</f>
        <v>1.0000000000000002</v>
      </c>
      <c r="CA6" s="261">
        <f t="shared" ref="CA6:CA12" si="12">SUMPRODUCT(BF6:BY6,$BF$19:$BY$19)</f>
        <v>0.90017889598510292</v>
      </c>
      <c r="CB6" s="74">
        <f t="shared" ref="CB6:CB18" si="13">C6-CA6</f>
        <v>0</v>
      </c>
    </row>
    <row r="7" spans="1:80" x14ac:dyDescent="0.3">
      <c r="A7" s="91">
        <v>37103</v>
      </c>
      <c r="B7" s="92" t="s">
        <v>79</v>
      </c>
      <c r="C7" s="88">
        <f t="shared" si="1"/>
        <v>0.7505953965434341</v>
      </c>
      <c r="D7" s="93">
        <f t="shared" si="6"/>
        <v>0.96076210757559566</v>
      </c>
      <c r="E7" s="93">
        <v>4</v>
      </c>
      <c r="F7" s="94">
        <v>1.28</v>
      </c>
      <c r="G7" s="8">
        <v>3852.4108629366792</v>
      </c>
      <c r="H7" s="8">
        <v>594.92837043247027</v>
      </c>
      <c r="I7" s="8">
        <v>1036.9404154299179</v>
      </c>
      <c r="J7" s="8">
        <v>2.937702645751306</v>
      </c>
      <c r="K7" s="8">
        <v>5424.6883278296946</v>
      </c>
      <c r="L7" s="8">
        <v>1552.5139815710211</v>
      </c>
      <c r="M7" s="95">
        <v>10788.02259883976</v>
      </c>
      <c r="N7" s="96">
        <v>5397.1110137483774</v>
      </c>
      <c r="O7" s="71">
        <v>156.42564372571431</v>
      </c>
      <c r="P7" s="8">
        <v>21.537393551271428</v>
      </c>
      <c r="Q7" s="95">
        <v>558.92057581214283</v>
      </c>
      <c r="R7" s="71">
        <v>0</v>
      </c>
      <c r="S7" s="8">
        <v>0</v>
      </c>
      <c r="T7" s="8">
        <v>10938.6920285</v>
      </c>
      <c r="U7" s="8">
        <v>0</v>
      </c>
      <c r="V7" s="8">
        <v>15898.09705380714</v>
      </c>
      <c r="W7" s="8">
        <v>1157.3827447173501</v>
      </c>
      <c r="X7" s="8">
        <v>29.885063599507141</v>
      </c>
      <c r="Y7" s="95">
        <v>996.61310438539283</v>
      </c>
      <c r="Z7" s="97">
        <v>634.94147465437811</v>
      </c>
      <c r="AA7" s="8"/>
      <c r="AB7" s="98">
        <f t="shared" si="7"/>
        <v>0</v>
      </c>
      <c r="AC7" s="71">
        <f t="shared" si="2"/>
        <v>59042.048356186569</v>
      </c>
      <c r="AD7" s="8">
        <v>53137.84352056792</v>
      </c>
      <c r="AE7" s="95">
        <f t="shared" si="8"/>
        <v>5904.2048356186497</v>
      </c>
      <c r="AF7" s="99" t="s">
        <v>80</v>
      </c>
      <c r="AG7" s="100"/>
      <c r="AH7" s="101"/>
      <c r="AI7" s="101"/>
      <c r="AJ7" s="101"/>
      <c r="AK7" s="101"/>
      <c r="AL7" s="101"/>
      <c r="AM7" s="98"/>
      <c r="AN7" s="101"/>
      <c r="AO7" s="100"/>
      <c r="AP7" s="101"/>
      <c r="AQ7" s="98"/>
      <c r="AR7" s="100"/>
      <c r="AS7" s="101"/>
      <c r="AT7" s="101"/>
      <c r="AU7" s="101"/>
      <c r="AV7" s="101"/>
      <c r="AW7" s="101"/>
      <c r="AX7" s="101"/>
      <c r="AY7" s="98"/>
      <c r="AZ7" s="100"/>
      <c r="BA7" s="98"/>
      <c r="BB7" s="102"/>
      <c r="BC7" s="10"/>
      <c r="BD7" s="71">
        <f t="shared" si="3"/>
        <v>37103</v>
      </c>
      <c r="BE7" s="8" t="str">
        <f t="shared" si="3"/>
        <v>Tochten DE Almere</v>
      </c>
      <c r="BF7" s="7">
        <f t="shared" si="10"/>
        <v>6.5248597739970077E-2</v>
      </c>
      <c r="BG7" s="7">
        <f t="shared" si="4"/>
        <v>1.0076350448470378E-2</v>
      </c>
      <c r="BH7" s="7">
        <f t="shared" si="4"/>
        <v>1.7562744591351306E-2</v>
      </c>
      <c r="BI7" s="7">
        <f t="shared" si="4"/>
        <v>4.9756109883397807E-5</v>
      </c>
      <c r="BJ7" s="7">
        <f t="shared" si="4"/>
        <v>9.1878389704636368E-2</v>
      </c>
      <c r="BK7" s="7">
        <f t="shared" si="4"/>
        <v>2.6295056231875207E-2</v>
      </c>
      <c r="BL7" s="7">
        <f t="shared" si="4"/>
        <v>0.18271762073290881</v>
      </c>
      <c r="BM7" s="7">
        <f t="shared" si="4"/>
        <v>9.1411310481453761E-2</v>
      </c>
      <c r="BN7" s="7">
        <f t="shared" si="4"/>
        <v>2.6493939163837231E-3</v>
      </c>
      <c r="BO7" s="7">
        <f t="shared" si="4"/>
        <v>3.6478059537063277E-4</v>
      </c>
      <c r="BP7" s="7">
        <f t="shared" si="4"/>
        <v>9.4664834871633942E-3</v>
      </c>
      <c r="BQ7" s="7">
        <f t="shared" si="4"/>
        <v>0</v>
      </c>
      <c r="BR7" s="7">
        <f t="shared" si="4"/>
        <v>0</v>
      </c>
      <c r="BS7" s="7">
        <f t="shared" si="4"/>
        <v>0.18526952118106549</v>
      </c>
      <c r="BT7" s="7">
        <f t="shared" si="4"/>
        <v>0</v>
      </c>
      <c r="BU7" s="7">
        <f t="shared" si="4"/>
        <v>0.26926736955157315</v>
      </c>
      <c r="BV7" s="7">
        <f t="shared" si="4"/>
        <v>1.9602686169272729E-2</v>
      </c>
      <c r="BW7" s="7">
        <f t="shared" si="5"/>
        <v>5.0616576544258241E-4</v>
      </c>
      <c r="BX7" s="7">
        <f t="shared" si="5"/>
        <v>1.6879717627224993E-2</v>
      </c>
      <c r="BY7" s="7">
        <f t="shared" si="5"/>
        <v>1.0754055665953999E-2</v>
      </c>
      <c r="BZ7" s="72">
        <f t="shared" si="11"/>
        <v>1</v>
      </c>
      <c r="CA7" s="261">
        <f t="shared" si="12"/>
        <v>0.75059539654343421</v>
      </c>
      <c r="CB7" s="74">
        <f t="shared" si="13"/>
        <v>0</v>
      </c>
    </row>
    <row r="8" spans="1:80" x14ac:dyDescent="0.3">
      <c r="A8" s="91">
        <v>37104</v>
      </c>
      <c r="B8" s="92" t="s">
        <v>81</v>
      </c>
      <c r="C8" s="88">
        <f t="shared" si="1"/>
        <v>0.82357013107399568</v>
      </c>
      <c r="D8" s="93">
        <f t="shared" si="6"/>
        <v>4.7965704874381743</v>
      </c>
      <c r="E8" s="93">
        <v>4</v>
      </c>
      <c r="F8" s="94">
        <v>5.8241190476190479</v>
      </c>
      <c r="G8" s="8">
        <v>4782.6945239833976</v>
      </c>
      <c r="H8" s="8">
        <v>1801.9805511795589</v>
      </c>
      <c r="I8" s="8">
        <v>2141.3881392010412</v>
      </c>
      <c r="J8" s="8">
        <v>5.3068743613050327</v>
      </c>
      <c r="K8" s="8">
        <v>3232.063524278617</v>
      </c>
      <c r="L8" s="8">
        <v>4842.5584382923762</v>
      </c>
      <c r="M8" s="95">
        <v>2692.597874070229</v>
      </c>
      <c r="N8" s="96">
        <v>31789.02668145817</v>
      </c>
      <c r="O8" s="71">
        <v>666.8672179885715</v>
      </c>
      <c r="P8" s="8">
        <v>15.589072289442861</v>
      </c>
      <c r="Q8" s="95">
        <v>1041.0852062378569</v>
      </c>
      <c r="R8" s="71">
        <v>0</v>
      </c>
      <c r="S8" s="8">
        <v>0</v>
      </c>
      <c r="T8" s="8">
        <v>6860.3809005000003</v>
      </c>
      <c r="U8" s="8">
        <v>0</v>
      </c>
      <c r="V8" s="8">
        <v>6324.5831054785722</v>
      </c>
      <c r="W8" s="8">
        <v>32.998593697650001</v>
      </c>
      <c r="X8" s="8">
        <v>30.988650300492861</v>
      </c>
      <c r="Y8" s="95">
        <v>75.614655086035711</v>
      </c>
      <c r="Z8" s="97">
        <v>0</v>
      </c>
      <c r="AA8" s="8"/>
      <c r="AB8" s="98">
        <f t="shared" si="7"/>
        <v>0</v>
      </c>
      <c r="AC8" s="71">
        <f t="shared" si="2"/>
        <v>66335.724008403296</v>
      </c>
      <c r="AD8" s="8">
        <v>26522.425973116598</v>
      </c>
      <c r="AE8" s="95">
        <f t="shared" si="8"/>
        <v>39813.298035286702</v>
      </c>
      <c r="AF8" s="99" t="s">
        <v>82</v>
      </c>
      <c r="AG8" s="100"/>
      <c r="AH8" s="101"/>
      <c r="AI8" s="101"/>
      <c r="AJ8" s="101"/>
      <c r="AK8" s="101"/>
      <c r="AL8" s="101"/>
      <c r="AM8" s="98"/>
      <c r="AN8" s="101"/>
      <c r="AO8" s="100"/>
      <c r="AP8" s="101"/>
      <c r="AQ8" s="98"/>
      <c r="AR8" s="100"/>
      <c r="AS8" s="101"/>
      <c r="AT8" s="101"/>
      <c r="AU8" s="101"/>
      <c r="AV8" s="101"/>
      <c r="AW8" s="101"/>
      <c r="AX8" s="101"/>
      <c r="AY8" s="98"/>
      <c r="AZ8" s="100"/>
      <c r="BA8" s="98"/>
      <c r="BB8" s="102"/>
      <c r="BC8" s="10"/>
      <c r="BD8" s="71">
        <f t="shared" si="3"/>
        <v>37104</v>
      </c>
      <c r="BE8" s="8" t="str">
        <f t="shared" si="3"/>
        <v>Tochten DE Zuidlob</v>
      </c>
      <c r="BF8" s="7">
        <f t="shared" si="10"/>
        <v>7.2098324024887916E-2</v>
      </c>
      <c r="BG8" s="7">
        <f t="shared" si="4"/>
        <v>2.7164556927897359E-2</v>
      </c>
      <c r="BH8" s="7">
        <f t="shared" si="4"/>
        <v>3.2281069833952125E-2</v>
      </c>
      <c r="BI8" s="7">
        <f t="shared" si="4"/>
        <v>8.0000247839802981E-5</v>
      </c>
      <c r="BJ8" s="7">
        <f t="shared" si="4"/>
        <v>4.8722819756503818E-2</v>
      </c>
      <c r="BK8" s="7">
        <f t="shared" si="4"/>
        <v>7.3000762570691616E-2</v>
      </c>
      <c r="BL8" s="7">
        <f t="shared" si="4"/>
        <v>4.0590464856148027E-2</v>
      </c>
      <c r="BM8" s="7">
        <f t="shared" si="4"/>
        <v>0.47921428697199703</v>
      </c>
      <c r="BN8" s="7">
        <f t="shared" si="4"/>
        <v>1.0052912332789101E-2</v>
      </c>
      <c r="BO8" s="7">
        <f t="shared" si="4"/>
        <v>2.3500267046860096E-4</v>
      </c>
      <c r="BP8" s="7">
        <f t="shared" si="4"/>
        <v>1.5694186229217519E-2</v>
      </c>
      <c r="BQ8" s="7">
        <f t="shared" si="4"/>
        <v>0</v>
      </c>
      <c r="BR8" s="7">
        <f t="shared" si="4"/>
        <v>0</v>
      </c>
      <c r="BS8" s="7">
        <f t="shared" si="4"/>
        <v>0.10341910038746149</v>
      </c>
      <c r="BT8" s="7">
        <f t="shared" si="4"/>
        <v>0</v>
      </c>
      <c r="BU8" s="7">
        <f t="shared" si="4"/>
        <v>9.5342037793653758E-2</v>
      </c>
      <c r="BV8" s="7">
        <f t="shared" si="4"/>
        <v>4.9744830844794573E-4</v>
      </c>
      <c r="BW8" s="7">
        <f t="shared" si="5"/>
        <v>4.6714874622559739E-4</v>
      </c>
      <c r="BX8" s="7">
        <f t="shared" si="5"/>
        <v>1.1398783418186101E-3</v>
      </c>
      <c r="BY8" s="7">
        <f t="shared" si="5"/>
        <v>0</v>
      </c>
      <c r="BZ8" s="72">
        <f t="shared" si="11"/>
        <v>1.0000000000000004</v>
      </c>
      <c r="CA8" s="261">
        <f t="shared" si="12"/>
        <v>0.82357013107399568</v>
      </c>
      <c r="CB8" s="74">
        <f t="shared" si="13"/>
        <v>0</v>
      </c>
    </row>
    <row r="9" spans="1:80" x14ac:dyDescent="0.3">
      <c r="A9" s="91">
        <v>37105</v>
      </c>
      <c r="B9" s="92" t="s">
        <v>83</v>
      </c>
      <c r="C9" s="88">
        <f t="shared" si="1"/>
        <v>0.85888834557158611</v>
      </c>
      <c r="D9" s="93">
        <f t="shared" si="6"/>
        <v>2.0208387385556228</v>
      </c>
      <c r="E9" s="93">
        <v>2.5</v>
      </c>
      <c r="F9" s="94">
        <v>2.3528538359788365</v>
      </c>
      <c r="G9" s="8">
        <v>13380.247084998609</v>
      </c>
      <c r="H9" s="8">
        <v>4502.9413858719281</v>
      </c>
      <c r="I9" s="8">
        <v>7918.5632170306344</v>
      </c>
      <c r="J9" s="8">
        <v>13.19120592130875</v>
      </c>
      <c r="K9" s="8">
        <v>7355.5005747639771</v>
      </c>
      <c r="L9" s="8">
        <v>11282.33831245379</v>
      </c>
      <c r="M9" s="95">
        <v>2489.4996511362192</v>
      </c>
      <c r="N9" s="96">
        <v>116523.5857605433</v>
      </c>
      <c r="O9" s="71">
        <v>669.61105133000001</v>
      </c>
      <c r="P9" s="8">
        <v>0</v>
      </c>
      <c r="Q9" s="95">
        <v>2520.8982003105721</v>
      </c>
      <c r="R9" s="71">
        <v>0</v>
      </c>
      <c r="S9" s="8">
        <v>0</v>
      </c>
      <c r="T9" s="8">
        <v>4724.6679110040004</v>
      </c>
      <c r="U9" s="8">
        <v>0</v>
      </c>
      <c r="V9" s="8">
        <v>7338.4732049944014</v>
      </c>
      <c r="W9" s="8">
        <v>314.72837028380002</v>
      </c>
      <c r="X9" s="8">
        <v>0</v>
      </c>
      <c r="Y9" s="95">
        <v>394.40620286969721</v>
      </c>
      <c r="Z9" s="97">
        <v>390.33082448714282</v>
      </c>
      <c r="AA9" s="8"/>
      <c r="AB9" s="98">
        <f t="shared" si="7"/>
        <v>5844.7683352633867</v>
      </c>
      <c r="AC9" s="71">
        <f t="shared" si="2"/>
        <v>185663.75129326276</v>
      </c>
      <c r="AD9" s="8">
        <v>57905.735157922798</v>
      </c>
      <c r="AE9" s="95">
        <f t="shared" si="8"/>
        <v>127758.01613533996</v>
      </c>
      <c r="AF9" s="99" t="s">
        <v>84</v>
      </c>
      <c r="AG9" s="100">
        <v>296.05629462544368</v>
      </c>
      <c r="AH9" s="101">
        <v>87.380599667782732</v>
      </c>
      <c r="AI9" s="101">
        <v>111.98224766670189</v>
      </c>
      <c r="AJ9" s="101">
        <v>0.43673578374161598</v>
      </c>
      <c r="AK9" s="101">
        <v>324.14954074543402</v>
      </c>
      <c r="AL9" s="101">
        <v>229.10678577886441</v>
      </c>
      <c r="AM9" s="98">
        <v>116.1361224466159</v>
      </c>
      <c r="AN9" s="101">
        <v>3745.1976014214702</v>
      </c>
      <c r="AO9" s="100">
        <v>20.032150727246229</v>
      </c>
      <c r="AP9" s="101">
        <v>0.19513867669918211</v>
      </c>
      <c r="AQ9" s="98">
        <v>54.133038789464813</v>
      </c>
      <c r="AR9" s="100">
        <v>62.142258751511321</v>
      </c>
      <c r="AS9" s="101">
        <v>0</v>
      </c>
      <c r="AT9" s="101">
        <v>225.68858840848449</v>
      </c>
      <c r="AU9" s="101">
        <v>0.98246407709270223</v>
      </c>
      <c r="AV9" s="101">
        <v>95.322745721186877</v>
      </c>
      <c r="AW9" s="101">
        <v>2.759773759395157</v>
      </c>
      <c r="AX9" s="101">
        <v>6.1135870074762133</v>
      </c>
      <c r="AY9" s="98">
        <v>6.9921325915605017</v>
      </c>
      <c r="AZ9" s="100">
        <v>459.96052861721461</v>
      </c>
      <c r="BA9" s="98"/>
      <c r="BB9" s="102">
        <f>SUM(AG9:BA9)</f>
        <v>5844.7683352633867</v>
      </c>
      <c r="BC9" s="10"/>
      <c r="BD9" s="71">
        <f t="shared" si="3"/>
        <v>37105</v>
      </c>
      <c r="BE9" s="8" t="str">
        <f t="shared" si="3"/>
        <v>Tochten FGIK</v>
      </c>
      <c r="BF9" s="7">
        <f t="shared" si="10"/>
        <v>7.3661677545348234E-2</v>
      </c>
      <c r="BG9" s="7">
        <f t="shared" si="4"/>
        <v>2.4723845950355317E-2</v>
      </c>
      <c r="BH9" s="7">
        <f t="shared" si="4"/>
        <v>4.3253168207362101E-2</v>
      </c>
      <c r="BI9" s="7">
        <f t="shared" si="4"/>
        <v>7.3401197649639911E-5</v>
      </c>
      <c r="BJ9" s="7">
        <f t="shared" si="4"/>
        <v>4.1363217440215996E-2</v>
      </c>
      <c r="BK9" s="7">
        <f t="shared" si="4"/>
        <v>6.2001575525908133E-2</v>
      </c>
      <c r="BL9" s="7">
        <f t="shared" si="4"/>
        <v>1.4034165287693327E-2</v>
      </c>
      <c r="BM9" s="7">
        <f t="shared" si="4"/>
        <v>0.64777740686708296</v>
      </c>
      <c r="BN9" s="7">
        <f t="shared" si="4"/>
        <v>3.7144741353842907E-3</v>
      </c>
      <c r="BO9" s="7">
        <f t="shared" si="4"/>
        <v>1.0510327155404362E-6</v>
      </c>
      <c r="BP9" s="7">
        <f t="shared" si="4"/>
        <v>1.3869326786534008E-2</v>
      </c>
      <c r="BQ9" s="7">
        <f t="shared" si="4"/>
        <v>3.3470323807771894E-4</v>
      </c>
      <c r="BR9" s="7">
        <f t="shared" si="4"/>
        <v>0</v>
      </c>
      <c r="BS9" s="7">
        <f t="shared" si="4"/>
        <v>2.6663020998607387E-2</v>
      </c>
      <c r="BT9" s="7">
        <f t="shared" si="4"/>
        <v>5.2916310817229145E-6</v>
      </c>
      <c r="BU9" s="7">
        <f t="shared" si="4"/>
        <v>4.0039026998725413E-2</v>
      </c>
      <c r="BV9" s="7">
        <f t="shared" si="4"/>
        <v>1.7100168548340431E-3</v>
      </c>
      <c r="BW9" s="7">
        <f t="shared" si="5"/>
        <v>3.2928274716476977E-5</v>
      </c>
      <c r="BX9" s="7">
        <f t="shared" si="5"/>
        <v>2.1619639410777295E-3</v>
      </c>
      <c r="BY9" s="7">
        <f t="shared" si="5"/>
        <v>4.5797380866300112E-3</v>
      </c>
      <c r="BZ9" s="72">
        <f t="shared" si="11"/>
        <v>1</v>
      </c>
      <c r="CA9" s="261">
        <f t="shared" si="12"/>
        <v>0.85888834557158611</v>
      </c>
      <c r="CB9" s="74">
        <f t="shared" si="13"/>
        <v>0</v>
      </c>
    </row>
    <row r="10" spans="1:80" x14ac:dyDescent="0.3">
      <c r="A10" s="91">
        <v>37106</v>
      </c>
      <c r="B10" s="92" t="s">
        <v>85</v>
      </c>
      <c r="C10" s="88">
        <f t="shared" si="1"/>
        <v>0.5310735139092041</v>
      </c>
      <c r="D10" s="93">
        <f t="shared" si="6"/>
        <v>2.1459275740684931</v>
      </c>
      <c r="E10" s="93">
        <v>2.5</v>
      </c>
      <c r="F10" s="94">
        <v>4.0407354497354495</v>
      </c>
      <c r="G10" s="8">
        <v>10045.043138683741</v>
      </c>
      <c r="H10" s="8">
        <v>4221.1844153660568</v>
      </c>
      <c r="I10" s="8">
        <v>2431.686711281955</v>
      </c>
      <c r="J10" s="8">
        <v>3.0168235392431888</v>
      </c>
      <c r="K10" s="8">
        <v>1980.6815046373731</v>
      </c>
      <c r="L10" s="8">
        <v>5267.1422873245119</v>
      </c>
      <c r="M10" s="95">
        <v>1258.04515226533</v>
      </c>
      <c r="N10" s="96">
        <v>4152.9441806002187</v>
      </c>
      <c r="O10" s="71">
        <v>428.11228809142858</v>
      </c>
      <c r="P10" s="8">
        <v>0</v>
      </c>
      <c r="Q10" s="95">
        <v>1484.0195630000001</v>
      </c>
      <c r="R10" s="71">
        <v>0</v>
      </c>
      <c r="S10" s="8">
        <v>0</v>
      </c>
      <c r="T10" s="8">
        <v>1240.2700596520001</v>
      </c>
      <c r="U10" s="8">
        <v>0</v>
      </c>
      <c r="V10" s="8">
        <v>163.56876684274289</v>
      </c>
      <c r="W10" s="8">
        <v>40.993577682200012</v>
      </c>
      <c r="X10" s="8">
        <v>0</v>
      </c>
      <c r="Y10" s="95">
        <v>52.822365651788573</v>
      </c>
      <c r="Z10" s="97">
        <v>0</v>
      </c>
      <c r="AA10" s="8"/>
      <c r="AB10" s="98">
        <f t="shared" si="7"/>
        <v>2806.6680073180078</v>
      </c>
      <c r="AC10" s="71">
        <f t="shared" si="2"/>
        <v>35576.19884193661</v>
      </c>
      <c r="AD10" s="8">
        <v>14423.0437907711</v>
      </c>
      <c r="AE10" s="95">
        <f t="shared" si="8"/>
        <v>21153.155051165508</v>
      </c>
      <c r="AF10" s="99" t="s">
        <v>86</v>
      </c>
      <c r="AG10" s="100">
        <v>142.16675201257621</v>
      </c>
      <c r="AH10" s="101">
        <v>41.960317241004333</v>
      </c>
      <c r="AI10" s="101">
        <v>53.774071765588722</v>
      </c>
      <c r="AJ10" s="101">
        <v>0.20972128946207619</v>
      </c>
      <c r="AK10" s="101">
        <v>155.65717807975989</v>
      </c>
      <c r="AL10" s="101">
        <v>110.01748042354571</v>
      </c>
      <c r="AM10" s="98">
        <v>55.768769721511127</v>
      </c>
      <c r="AN10" s="101">
        <v>1798.4504579205179</v>
      </c>
      <c r="AO10" s="100">
        <v>9.6194739190463618</v>
      </c>
      <c r="AP10" s="101">
        <v>9.3705934857602105E-2</v>
      </c>
      <c r="AQ10" s="98">
        <v>25.994780185320892</v>
      </c>
      <c r="AR10" s="100">
        <v>29.840821660638959</v>
      </c>
      <c r="AS10" s="101">
        <v>0</v>
      </c>
      <c r="AT10" s="101">
        <v>108.3760560501857</v>
      </c>
      <c r="AU10" s="101">
        <v>0.47178097323014601</v>
      </c>
      <c r="AV10" s="101">
        <v>45.774149707733201</v>
      </c>
      <c r="AW10" s="101">
        <v>1.3252482003773169</v>
      </c>
      <c r="AX10" s="101">
        <v>2.9357552052685918</v>
      </c>
      <c r="AY10" s="98">
        <v>3.3576343358652658</v>
      </c>
      <c r="AZ10" s="100">
        <v>220.87385269151821</v>
      </c>
      <c r="BA10" s="98"/>
      <c r="BB10" s="102">
        <f t="shared" si="9"/>
        <v>2806.6680073180078</v>
      </c>
      <c r="BC10" s="10"/>
      <c r="BD10" s="71">
        <f t="shared" si="3"/>
        <v>37106</v>
      </c>
      <c r="BE10" s="8" t="str">
        <f t="shared" si="3"/>
        <v>Tochten FGIK ZUID</v>
      </c>
      <c r="BF10" s="7">
        <f t="shared" si="10"/>
        <v>0.28634902609909546</v>
      </c>
      <c r="BG10" s="7">
        <f t="shared" si="4"/>
        <v>0.11983137241693566</v>
      </c>
      <c r="BH10" s="7">
        <f t="shared" si="4"/>
        <v>6.9863022581201834E-2</v>
      </c>
      <c r="BI10" s="7">
        <f t="shared" si="4"/>
        <v>9.0693917105665303E-5</v>
      </c>
      <c r="BJ10" s="7">
        <f t="shared" si="4"/>
        <v>6.0049661072808423E-2</v>
      </c>
      <c r="BK10" s="7">
        <f t="shared" si="4"/>
        <v>0.15114486490359827</v>
      </c>
      <c r="BL10" s="7">
        <f t="shared" si="4"/>
        <v>3.6929575523907285E-2</v>
      </c>
      <c r="BM10" s="7">
        <f t="shared" si="4"/>
        <v>0.16728584931072893</v>
      </c>
      <c r="BN10" s="7">
        <f t="shared" si="4"/>
        <v>1.230406216120212E-2</v>
      </c>
      <c r="BO10" s="7">
        <f t="shared" si="4"/>
        <v>2.633950166343886E-6</v>
      </c>
      <c r="BP10" s="7">
        <f t="shared" si="4"/>
        <v>4.2444510440652873E-2</v>
      </c>
      <c r="BQ10" s="7">
        <f t="shared" si="4"/>
        <v>8.3878611633638367E-4</v>
      </c>
      <c r="BR10" s="7">
        <f t="shared" si="4"/>
        <v>0</v>
      </c>
      <c r="BS10" s="7">
        <f t="shared" si="4"/>
        <v>3.7908662521652682E-2</v>
      </c>
      <c r="BT10" s="7">
        <f t="shared" si="4"/>
        <v>1.3261140554285938E-5</v>
      </c>
      <c r="BU10" s="7">
        <f t="shared" si="4"/>
        <v>5.8843531171100345E-3</v>
      </c>
      <c r="BV10" s="7">
        <f t="shared" si="4"/>
        <v>1.1895263479552128E-3</v>
      </c>
      <c r="BW10" s="7">
        <f t="shared" si="5"/>
        <v>8.2520204542143899E-5</v>
      </c>
      <c r="BX10" s="7">
        <f t="shared" si="5"/>
        <v>1.5791456596377525E-3</v>
      </c>
      <c r="BY10" s="7">
        <f t="shared" si="5"/>
        <v>6.2084725148082972E-3</v>
      </c>
      <c r="BZ10" s="72">
        <f t="shared" si="11"/>
        <v>0.99999999999999967</v>
      </c>
      <c r="CA10" s="261">
        <f t="shared" si="12"/>
        <v>0.53107351390920421</v>
      </c>
      <c r="CB10" s="74">
        <f t="shared" si="13"/>
        <v>0</v>
      </c>
    </row>
    <row r="11" spans="1:80" x14ac:dyDescent="0.3">
      <c r="A11" s="91">
        <v>37107</v>
      </c>
      <c r="B11" s="92" t="s">
        <v>87</v>
      </c>
      <c r="C11" s="88">
        <f t="shared" si="1"/>
        <v>0.89859213952558914</v>
      </c>
      <c r="D11" s="93">
        <f t="shared" si="6"/>
        <v>1.7772868816759688</v>
      </c>
      <c r="E11" s="93">
        <v>2.4</v>
      </c>
      <c r="F11" s="94">
        <v>1.9778571428571428</v>
      </c>
      <c r="G11" s="8">
        <v>7059.8634364053469</v>
      </c>
      <c r="H11" s="8">
        <v>2417.9853493973251</v>
      </c>
      <c r="I11" s="8">
        <v>4040.239774227522</v>
      </c>
      <c r="J11" s="8">
        <v>5.7861793245120881</v>
      </c>
      <c r="K11" s="8">
        <v>1210.3250831916739</v>
      </c>
      <c r="L11" s="8">
        <v>5821.3761580032269</v>
      </c>
      <c r="M11" s="95">
        <v>141.1950898751146</v>
      </c>
      <c r="N11" s="96">
        <v>106852.1025327183</v>
      </c>
      <c r="O11" s="71">
        <v>214.0557726115714</v>
      </c>
      <c r="P11" s="8">
        <v>24.32842786418572</v>
      </c>
      <c r="Q11" s="95">
        <v>1676.540425281429</v>
      </c>
      <c r="R11" s="71">
        <v>0</v>
      </c>
      <c r="S11" s="8">
        <v>0</v>
      </c>
      <c r="T11" s="8">
        <v>1111.305666042</v>
      </c>
      <c r="U11" s="8">
        <v>21.984278316557148</v>
      </c>
      <c r="V11" s="8">
        <v>129.42223337494289</v>
      </c>
      <c r="W11" s="8">
        <v>0</v>
      </c>
      <c r="X11" s="8">
        <v>0</v>
      </c>
      <c r="Y11" s="95">
        <v>264.84716917675712</v>
      </c>
      <c r="Z11" s="97">
        <v>0</v>
      </c>
      <c r="AA11" s="8"/>
      <c r="AB11" s="98">
        <f t="shared" si="7"/>
        <v>52746.295144077347</v>
      </c>
      <c r="AC11" s="71">
        <f t="shared" si="2"/>
        <v>183737.65271988779</v>
      </c>
      <c r="AD11" s="8">
        <v>11169.898899050801</v>
      </c>
      <c r="AE11" s="95">
        <f t="shared" si="8"/>
        <v>172567.75382083698</v>
      </c>
      <c r="AF11" s="99" t="s">
        <v>88</v>
      </c>
      <c r="AG11" s="100">
        <v>2671.7693157075091</v>
      </c>
      <c r="AH11" s="101">
        <v>788.56896211535411</v>
      </c>
      <c r="AI11" s="101">
        <v>1010.587306033722</v>
      </c>
      <c r="AJ11" s="101">
        <v>3.9413357771993049</v>
      </c>
      <c r="AK11" s="101">
        <v>2925.2976963723072</v>
      </c>
      <c r="AL11" s="101">
        <v>2067.5813734640201</v>
      </c>
      <c r="AM11" s="98">
        <v>1048.0740792580721</v>
      </c>
      <c r="AN11" s="101">
        <v>33798.653210190118</v>
      </c>
      <c r="AO11" s="100">
        <v>180.78077248246629</v>
      </c>
      <c r="AP11" s="101">
        <v>1.7610351077731661</v>
      </c>
      <c r="AQ11" s="98">
        <v>488.52530626540693</v>
      </c>
      <c r="AR11" s="100">
        <v>560.80476299650138</v>
      </c>
      <c r="AS11" s="101">
        <v>0</v>
      </c>
      <c r="AT11" s="101">
        <v>2036.7337440941819</v>
      </c>
      <c r="AU11" s="101">
        <v>8.8662778755712583</v>
      </c>
      <c r="AV11" s="101">
        <v>860.24310825434668</v>
      </c>
      <c r="AW11" s="101">
        <v>24.905664843151911</v>
      </c>
      <c r="AX11" s="101">
        <v>55.172257682101147</v>
      </c>
      <c r="AY11" s="98">
        <v>63.100719858446332</v>
      </c>
      <c r="AZ11" s="100">
        <v>4150.9282156990976</v>
      </c>
      <c r="BA11" s="98"/>
      <c r="BB11" s="102">
        <f t="shared" si="9"/>
        <v>52746.295144077347</v>
      </c>
      <c r="BC11" s="10"/>
      <c r="BD11" s="71">
        <f t="shared" si="3"/>
        <v>37107</v>
      </c>
      <c r="BE11" s="8" t="str">
        <f t="shared" si="3"/>
        <v>Tochten H</v>
      </c>
      <c r="BF11" s="7">
        <f t="shared" si="10"/>
        <v>5.2964825706949409E-2</v>
      </c>
      <c r="BG11" s="7">
        <f t="shared" si="4"/>
        <v>1.7451808402065221E-2</v>
      </c>
      <c r="BH11" s="7">
        <f t="shared" si="4"/>
        <v>2.748934149039851E-2</v>
      </c>
      <c r="BI11" s="7">
        <f t="shared" si="4"/>
        <v>5.2942415219275774E-5</v>
      </c>
      <c r="BJ11" s="7">
        <f t="shared" si="4"/>
        <v>2.2508303106869614E-2</v>
      </c>
      <c r="BK11" s="7">
        <f t="shared" si="4"/>
        <v>4.2935987342203295E-2</v>
      </c>
      <c r="BL11" s="7">
        <f t="shared" si="4"/>
        <v>6.4726481019448659E-3</v>
      </c>
      <c r="BM11" s="7">
        <f t="shared" si="4"/>
        <v>0.76549772820562634</v>
      </c>
      <c r="BN11" s="7">
        <f t="shared" si="4"/>
        <v>2.148914712086667E-3</v>
      </c>
      <c r="BO11" s="7">
        <f t="shared" si="4"/>
        <v>1.4199301333044057E-4</v>
      </c>
      <c r="BP11" s="7">
        <f t="shared" si="4"/>
        <v>1.1783462450385866E-2</v>
      </c>
      <c r="BQ11" s="7">
        <f t="shared" si="4"/>
        <v>3.0522038063230347E-3</v>
      </c>
      <c r="BR11" s="7">
        <f t="shared" si="4"/>
        <v>0</v>
      </c>
      <c r="BS11" s="7">
        <f t="shared" si="4"/>
        <v>1.713333855927418E-2</v>
      </c>
      <c r="BT11" s="7">
        <f t="shared" si="4"/>
        <v>1.679054659480209E-4</v>
      </c>
      <c r="BU11" s="7">
        <f t="shared" si="4"/>
        <v>5.3862957699696793E-3</v>
      </c>
      <c r="BV11" s="7">
        <f t="shared" si="4"/>
        <v>1.3555014159847333E-4</v>
      </c>
      <c r="BW11" s="7">
        <f t="shared" si="5"/>
        <v>3.002773621268173E-4</v>
      </c>
      <c r="BX11" s="7">
        <f t="shared" si="5"/>
        <v>1.7848703528131353E-3</v>
      </c>
      <c r="BY11" s="7">
        <f t="shared" si="5"/>
        <v>2.2591603594867306E-2</v>
      </c>
      <c r="BZ11" s="72">
        <f t="shared" si="11"/>
        <v>1</v>
      </c>
      <c r="CA11" s="261">
        <f t="shared" si="12"/>
        <v>0.89859213952558914</v>
      </c>
      <c r="CB11" s="74">
        <f t="shared" si="13"/>
        <v>0</v>
      </c>
    </row>
    <row r="12" spans="1:80" x14ac:dyDescent="0.3">
      <c r="A12" s="91">
        <v>37108</v>
      </c>
      <c r="B12" s="92" t="s">
        <v>156</v>
      </c>
      <c r="C12" s="88">
        <f t="shared" si="1"/>
        <v>0.81196538624242676</v>
      </c>
      <c r="D12" s="93">
        <f t="shared" si="6"/>
        <v>5.2028295967729434</v>
      </c>
      <c r="E12" s="93">
        <v>5</v>
      </c>
      <c r="F12" s="94">
        <v>6.4076987577639741</v>
      </c>
      <c r="G12" s="8">
        <v>22002.78852570356</v>
      </c>
      <c r="H12" s="8">
        <v>6751.4383630429684</v>
      </c>
      <c r="I12" s="8">
        <v>6633.9494466281149</v>
      </c>
      <c r="J12" s="8">
        <v>28.10705652182552</v>
      </c>
      <c r="K12" s="8">
        <v>16262.78409263478</v>
      </c>
      <c r="L12" s="8">
        <v>9090.545494691205</v>
      </c>
      <c r="M12" s="95">
        <v>3113.7148063402951</v>
      </c>
      <c r="N12" s="96">
        <v>106217.5376090397</v>
      </c>
      <c r="O12" s="71">
        <v>491.62331293128568</v>
      </c>
      <c r="P12" s="8">
        <v>7.571784762028571</v>
      </c>
      <c r="Q12" s="95">
        <v>2274.912628008</v>
      </c>
      <c r="R12" s="71">
        <v>0</v>
      </c>
      <c r="S12" s="8">
        <v>0</v>
      </c>
      <c r="T12" s="8">
        <v>5380.2811393020002</v>
      </c>
      <c r="U12" s="8">
        <v>59.079264592014283</v>
      </c>
      <c r="V12" s="8">
        <v>4723.4626535493426</v>
      </c>
      <c r="W12" s="8">
        <v>61.400555318999999</v>
      </c>
      <c r="X12" s="8">
        <v>3.2093514220714292</v>
      </c>
      <c r="Y12" s="95">
        <v>412.29247901475708</v>
      </c>
      <c r="Z12" s="97">
        <v>237.66039714285711</v>
      </c>
      <c r="AA12" s="8"/>
      <c r="AB12" s="98">
        <f t="shared" si="7"/>
        <v>0</v>
      </c>
      <c r="AC12" s="71">
        <f t="shared" si="2"/>
        <v>183752.35896064577</v>
      </c>
      <c r="AD12" s="8">
        <v>31637.216939112299</v>
      </c>
      <c r="AE12" s="95">
        <f t="shared" si="8"/>
        <v>152115.14202153348</v>
      </c>
      <c r="AF12" s="99" t="s">
        <v>90</v>
      </c>
      <c r="AG12" s="100"/>
      <c r="AH12" s="101"/>
      <c r="AI12" s="101"/>
      <c r="AJ12" s="101"/>
      <c r="AK12" s="101"/>
      <c r="AL12" s="101"/>
      <c r="AM12" s="98"/>
      <c r="AN12" s="101"/>
      <c r="AO12" s="100"/>
      <c r="AP12" s="101"/>
      <c r="AQ12" s="98"/>
      <c r="AR12" s="100"/>
      <c r="AS12" s="101"/>
      <c r="AT12" s="101"/>
      <c r="AU12" s="101"/>
      <c r="AV12" s="101"/>
      <c r="AW12" s="101"/>
      <c r="AX12" s="101"/>
      <c r="AY12" s="98"/>
      <c r="AZ12" s="100"/>
      <c r="BA12" s="98"/>
      <c r="BB12" s="102"/>
      <c r="BC12" s="10"/>
      <c r="BD12" s="71">
        <f t="shared" si="3"/>
        <v>37108</v>
      </c>
      <c r="BE12" s="8" t="str">
        <f t="shared" si="3"/>
        <v>Tochten J</v>
      </c>
      <c r="BF12" s="7">
        <f t="shared" si="10"/>
        <v>0.11974152957903465</v>
      </c>
      <c r="BG12" s="7">
        <f t="shared" si="4"/>
        <v>3.6742050013567028E-2</v>
      </c>
      <c r="BH12" s="7">
        <f t="shared" si="4"/>
        <v>3.610266275846237E-2</v>
      </c>
      <c r="BI12" s="7">
        <f t="shared" si="4"/>
        <v>1.5296160920494744E-4</v>
      </c>
      <c r="BJ12" s="7">
        <f t="shared" si="4"/>
        <v>8.8503811241507815E-2</v>
      </c>
      <c r="BK12" s="7">
        <f t="shared" si="4"/>
        <v>4.9471721321619207E-2</v>
      </c>
      <c r="BL12" s="7">
        <f t="shared" si="4"/>
        <v>1.6945169161105351E-2</v>
      </c>
      <c r="BM12" s="7">
        <f t="shared" si="4"/>
        <v>0.57804720554247857</v>
      </c>
      <c r="BN12" s="7">
        <f t="shared" si="4"/>
        <v>2.6754666754323225E-3</v>
      </c>
      <c r="BO12" s="7">
        <f t="shared" si="4"/>
        <v>4.1206462898526488E-5</v>
      </c>
      <c r="BP12" s="7">
        <f t="shared" si="4"/>
        <v>1.2380317950068971E-2</v>
      </c>
      <c r="BQ12" s="7">
        <f t="shared" si="4"/>
        <v>0</v>
      </c>
      <c r="BR12" s="7">
        <f t="shared" si="4"/>
        <v>0</v>
      </c>
      <c r="BS12" s="7">
        <f t="shared" si="4"/>
        <v>2.9280065680431861E-2</v>
      </c>
      <c r="BT12" s="7">
        <f t="shared" si="4"/>
        <v>3.2151567972342216E-4</v>
      </c>
      <c r="BU12" s="7">
        <f t="shared" si="4"/>
        <v>2.5705589197692783E-2</v>
      </c>
      <c r="BV12" s="7">
        <f t="shared" si="4"/>
        <v>3.3414839225084534E-4</v>
      </c>
      <c r="BW12" s="7">
        <f t="shared" si="5"/>
        <v>1.7465633857570099E-5</v>
      </c>
      <c r="BX12" s="7">
        <f t="shared" si="5"/>
        <v>2.2437397884130443E-3</v>
      </c>
      <c r="BY12" s="7">
        <f t="shared" si="5"/>
        <v>1.2933733122509562E-3</v>
      </c>
      <c r="BZ12" s="72">
        <f t="shared" si="11"/>
        <v>1.0000000000000002</v>
      </c>
      <c r="CA12" s="261">
        <f t="shared" si="12"/>
        <v>0.81196538624242665</v>
      </c>
      <c r="CB12" s="74">
        <f t="shared" si="13"/>
        <v>0</v>
      </c>
    </row>
    <row r="13" spans="1:80" x14ac:dyDescent="0.3">
      <c r="A13" s="91">
        <v>37109</v>
      </c>
      <c r="B13" s="92" t="s">
        <v>91</v>
      </c>
      <c r="C13" s="88">
        <f>(SUMPRODUCT(G13:AA13,$G$20:$AA$20)+SUMPRODUCT(AG13:BA13,$AG$20:$BA$20))/AC13</f>
        <v>0.62759480760662767</v>
      </c>
      <c r="D13" s="93">
        <f t="shared" si="6"/>
        <v>2.6030632783687566</v>
      </c>
      <c r="E13" s="93">
        <v>3.5</v>
      </c>
      <c r="F13" s="94">
        <v>4.1476813492063496</v>
      </c>
      <c r="G13" s="8">
        <v>116960.1981485929</v>
      </c>
      <c r="H13" s="8">
        <v>18995.874130323318</v>
      </c>
      <c r="I13" s="8">
        <v>14136.98539517646</v>
      </c>
      <c r="J13" s="8">
        <v>146.78916799978981</v>
      </c>
      <c r="K13" s="8">
        <v>77433.062542563988</v>
      </c>
      <c r="L13" s="8">
        <v>38068.886748844692</v>
      </c>
      <c r="M13" s="95">
        <v>3311.0031522617951</v>
      </c>
      <c r="N13" s="96">
        <v>119900.81150941949</v>
      </c>
      <c r="O13" s="71">
        <v>1817.514206652929</v>
      </c>
      <c r="P13" s="8">
        <v>3534.9923958688569</v>
      </c>
      <c r="Q13" s="95">
        <v>8542.7381895888575</v>
      </c>
      <c r="R13" s="71">
        <v>0</v>
      </c>
      <c r="S13" s="8">
        <v>0</v>
      </c>
      <c r="T13" s="8">
        <v>7477.4691609952197</v>
      </c>
      <c r="U13" s="8">
        <v>348.19019832626208</v>
      </c>
      <c r="V13" s="8">
        <v>1062.332889535036</v>
      </c>
      <c r="W13" s="8">
        <v>86.20113099000001</v>
      </c>
      <c r="X13" s="8">
        <v>1.135997634928571</v>
      </c>
      <c r="Y13" s="95">
        <v>871.87380608843353</v>
      </c>
      <c r="Z13" s="97">
        <v>123546.40675220769</v>
      </c>
      <c r="AA13" s="8"/>
      <c r="AB13" s="98">
        <f t="shared" si="7"/>
        <v>9798.0747964782659</v>
      </c>
      <c r="AC13" s="71">
        <f t="shared" si="2"/>
        <v>546040.54031954892</v>
      </c>
      <c r="AD13" s="8">
        <v>93235.466525312499</v>
      </c>
      <c r="AE13" s="95">
        <f t="shared" si="8"/>
        <v>452805.07379423641</v>
      </c>
      <c r="AF13" s="99" t="s">
        <v>92</v>
      </c>
      <c r="AG13" s="100">
        <v>1456.739321936426</v>
      </c>
      <c r="AH13" s="101">
        <v>247.86786885822991</v>
      </c>
      <c r="AI13" s="101">
        <v>275.2399848804472</v>
      </c>
      <c r="AJ13" s="101">
        <v>2.8601888176639099</v>
      </c>
      <c r="AK13" s="101">
        <v>734.62353991579334</v>
      </c>
      <c r="AL13" s="101">
        <v>378.29779815763129</v>
      </c>
      <c r="AM13" s="98">
        <v>43.36191078381227</v>
      </c>
      <c r="AN13" s="101">
        <v>2200.3652740976081</v>
      </c>
      <c r="AO13" s="100">
        <v>42.450281514492431</v>
      </c>
      <c r="AP13" s="101">
        <v>89.479184948054851</v>
      </c>
      <c r="AQ13" s="98">
        <v>147.10308793727989</v>
      </c>
      <c r="AR13" s="100">
        <v>0</v>
      </c>
      <c r="AS13" s="101">
        <v>0</v>
      </c>
      <c r="AT13" s="101">
        <v>210.8525441216199</v>
      </c>
      <c r="AU13" s="101">
        <v>1.8598167503676051</v>
      </c>
      <c r="AV13" s="101">
        <v>4.6810469259464087</v>
      </c>
      <c r="AW13" s="101">
        <v>0.19650966417345839</v>
      </c>
      <c r="AX13" s="101">
        <v>1.084692407779448</v>
      </c>
      <c r="AY13" s="98">
        <v>10.64046569837533</v>
      </c>
      <c r="AZ13" s="100">
        <v>3950.3712790625641</v>
      </c>
      <c r="BA13" s="98"/>
      <c r="BB13" s="102">
        <f t="shared" si="9"/>
        <v>9798.0747964782659</v>
      </c>
      <c r="BC13" s="10"/>
      <c r="BD13" s="71">
        <f t="shared" si="3"/>
        <v>37109</v>
      </c>
      <c r="BE13" s="8" t="str">
        <f t="shared" si="3"/>
        <v>Tochten lage afdeling NOP</v>
      </c>
      <c r="BF13" s="7">
        <f t="shared" si="10"/>
        <v>0.21686473572315793</v>
      </c>
      <c r="BG13" s="7">
        <f t="shared" si="4"/>
        <v>3.5242331984947306E-2</v>
      </c>
      <c r="BH13" s="7">
        <f t="shared" si="4"/>
        <v>2.6394057429550404E-2</v>
      </c>
      <c r="BI13" s="7">
        <f t="shared" si="4"/>
        <v>2.7406272202770379E-4</v>
      </c>
      <c r="BJ13" s="7">
        <f t="shared" si="4"/>
        <v>0.14315363111452345</v>
      </c>
      <c r="BK13" s="7">
        <f t="shared" si="4"/>
        <v>7.0410860930770106E-2</v>
      </c>
      <c r="BL13" s="7">
        <f t="shared" si="4"/>
        <v>6.1430696356036055E-3</v>
      </c>
      <c r="BM13" s="7">
        <f t="shared" si="4"/>
        <v>0.2236119257959531</v>
      </c>
      <c r="BN13" s="7">
        <f t="shared" si="4"/>
        <v>3.4062754517804662E-3</v>
      </c>
      <c r="BO13" s="7">
        <f t="shared" si="4"/>
        <v>6.6377334889747034E-3</v>
      </c>
      <c r="BP13" s="7">
        <f t="shared" si="4"/>
        <v>1.5914278585323988E-2</v>
      </c>
      <c r="BQ13" s="7">
        <f t="shared" si="4"/>
        <v>0</v>
      </c>
      <c r="BR13" s="7">
        <f t="shared" si="4"/>
        <v>0</v>
      </c>
      <c r="BS13" s="7">
        <f t="shared" si="4"/>
        <v>1.4080129839109655E-2</v>
      </c>
      <c r="BT13" s="7">
        <f t="shared" si="4"/>
        <v>6.4106964452085658E-4</v>
      </c>
      <c r="BU13" s="7">
        <f t="shared" si="4"/>
        <v>1.9540928881151467E-3</v>
      </c>
      <c r="BV13" s="7">
        <f t="shared" si="4"/>
        <v>1.5822568889044874E-4</v>
      </c>
      <c r="BW13" s="7">
        <f t="shared" si="5"/>
        <v>4.0668959147400419E-6</v>
      </c>
      <c r="BX13" s="7">
        <f t="shared" si="5"/>
        <v>1.6162065023054E-3</v>
      </c>
      <c r="BY13" s="7">
        <f t="shared" si="5"/>
        <v>0.233493245678531</v>
      </c>
      <c r="BZ13" s="72">
        <f t="shared" si="11"/>
        <v>1</v>
      </c>
      <c r="CA13" s="261">
        <f>SUMPRODUCT(BF13:BY13,$BF$20:$BY$20)</f>
        <v>0.62759480760662756</v>
      </c>
      <c r="CB13" s="74">
        <f t="shared" si="13"/>
        <v>0</v>
      </c>
    </row>
    <row r="14" spans="1:80" x14ac:dyDescent="0.3">
      <c r="A14" s="91">
        <v>37110</v>
      </c>
      <c r="B14" s="92" t="s">
        <v>93</v>
      </c>
      <c r="C14" s="88">
        <f t="shared" si="1"/>
        <v>0.86774274437472199</v>
      </c>
      <c r="D14" s="93"/>
      <c r="E14" s="93"/>
      <c r="F14" s="94"/>
      <c r="G14" s="8">
        <v>360.48429901580568</v>
      </c>
      <c r="H14" s="8">
        <v>74.744510603299915</v>
      </c>
      <c r="I14" s="8">
        <v>84.858924610007122</v>
      </c>
      <c r="J14" s="8">
        <v>1.2988602463285599</v>
      </c>
      <c r="K14" s="8">
        <v>117.0776322323314</v>
      </c>
      <c r="L14" s="8">
        <v>180.26650307340239</v>
      </c>
      <c r="M14" s="95">
        <v>5278.7547709646269</v>
      </c>
      <c r="N14" s="96">
        <v>381.57430725846081</v>
      </c>
      <c r="O14" s="71">
        <v>0</v>
      </c>
      <c r="P14" s="8">
        <v>141.71059973642861</v>
      </c>
      <c r="Q14" s="95">
        <v>44.55583458142857</v>
      </c>
      <c r="R14" s="71">
        <v>0</v>
      </c>
      <c r="S14" s="8">
        <v>0</v>
      </c>
      <c r="T14" s="8">
        <v>16407.042612500001</v>
      </c>
      <c r="U14" s="8">
        <v>0</v>
      </c>
      <c r="V14" s="8">
        <v>6290.1800538357147</v>
      </c>
      <c r="W14" s="8">
        <v>3967.9737960000002</v>
      </c>
      <c r="X14" s="8">
        <v>0</v>
      </c>
      <c r="Y14" s="95">
        <v>594.43261598714287</v>
      </c>
      <c r="Z14" s="97">
        <v>0</v>
      </c>
      <c r="AA14" s="8"/>
      <c r="AB14" s="98">
        <f t="shared" si="7"/>
        <v>0</v>
      </c>
      <c r="AC14" s="71">
        <f t="shared" si="2"/>
        <v>33924.955320644978</v>
      </c>
      <c r="AD14" s="8">
        <v>30532.45978858048</v>
      </c>
      <c r="AE14" s="95">
        <f t="shared" si="8"/>
        <v>3392.4955320644985</v>
      </c>
      <c r="AF14" s="99" t="s">
        <v>93</v>
      </c>
      <c r="AG14" s="100"/>
      <c r="AH14" s="101"/>
      <c r="AI14" s="101"/>
      <c r="AJ14" s="101"/>
      <c r="AK14" s="101"/>
      <c r="AL14" s="101"/>
      <c r="AM14" s="98"/>
      <c r="AN14" s="101"/>
      <c r="AO14" s="100"/>
      <c r="AP14" s="101"/>
      <c r="AQ14" s="98"/>
      <c r="AR14" s="100"/>
      <c r="AS14" s="101"/>
      <c r="AT14" s="101"/>
      <c r="AU14" s="101"/>
      <c r="AV14" s="101"/>
      <c r="AW14" s="101"/>
      <c r="AX14" s="101"/>
      <c r="AY14" s="98"/>
      <c r="AZ14" s="100"/>
      <c r="BA14" s="98"/>
      <c r="BB14" s="102"/>
      <c r="BC14" s="10"/>
      <c r="BD14" s="71">
        <f t="shared" si="3"/>
        <v>37110</v>
      </c>
      <c r="BE14" s="8" t="str">
        <f t="shared" si="3"/>
        <v>Oostvaardersplassen</v>
      </c>
      <c r="BF14" s="7">
        <f t="shared" si="10"/>
        <v>1.062593290421914E-2</v>
      </c>
      <c r="BG14" s="7">
        <f t="shared" si="4"/>
        <v>2.2032309223945909E-3</v>
      </c>
      <c r="BH14" s="7">
        <f t="shared" si="4"/>
        <v>2.5013717426583125E-3</v>
      </c>
      <c r="BI14" s="7">
        <f t="shared" si="4"/>
        <v>3.8286277286211799E-5</v>
      </c>
      <c r="BJ14" s="7">
        <f t="shared" si="4"/>
        <v>3.4510769763957208E-3</v>
      </c>
      <c r="BK14" s="7">
        <f t="shared" si="4"/>
        <v>5.3136843179186592E-3</v>
      </c>
      <c r="BL14" s="7">
        <f t="shared" si="4"/>
        <v>0.15560093509547673</v>
      </c>
      <c r="BM14" s="7">
        <f t="shared" si="4"/>
        <v>1.1247599404390501E-2</v>
      </c>
      <c r="BN14" s="7">
        <f t="shared" si="4"/>
        <v>0</v>
      </c>
      <c r="BO14" s="7">
        <f t="shared" si="4"/>
        <v>4.1771786697148818E-3</v>
      </c>
      <c r="BP14" s="7">
        <f t="shared" si="4"/>
        <v>1.3133645766163821E-3</v>
      </c>
      <c r="BQ14" s="7">
        <f t="shared" si="4"/>
        <v>0</v>
      </c>
      <c r="BR14" s="7">
        <f t="shared" si="4"/>
        <v>0</v>
      </c>
      <c r="BS14" s="7">
        <f t="shared" si="4"/>
        <v>0.4836275378236245</v>
      </c>
      <c r="BT14" s="7">
        <f t="shared" si="4"/>
        <v>0</v>
      </c>
      <c r="BU14" s="7">
        <f t="shared" si="4"/>
        <v>0.18541454202027602</v>
      </c>
      <c r="BV14" s="7">
        <f t="shared" si="4"/>
        <v>0.1169632725672389</v>
      </c>
      <c r="BW14" s="7">
        <f t="shared" si="5"/>
        <v>0</v>
      </c>
      <c r="BX14" s="7">
        <f t="shared" si="5"/>
        <v>1.752198670178946E-2</v>
      </c>
      <c r="BY14" s="7">
        <f t="shared" si="5"/>
        <v>0</v>
      </c>
      <c r="BZ14" s="72">
        <f t="shared" si="11"/>
        <v>1</v>
      </c>
      <c r="CA14" s="261">
        <f>SUMPRODUCT(BF14:BY14,$BF$19:$BY$19)</f>
        <v>0.8677427443747221</v>
      </c>
      <c r="CB14" s="74">
        <f t="shared" si="13"/>
        <v>0</v>
      </c>
    </row>
    <row r="15" spans="1:80" x14ac:dyDescent="0.3">
      <c r="A15" s="91">
        <v>37111</v>
      </c>
      <c r="B15" s="92" t="s">
        <v>94</v>
      </c>
      <c r="C15" s="88">
        <f>(SUMPRODUCT(G15:AA15,$G$20:$AA$20)+SUMPRODUCT(AG15:BA15,$AG$20:$BA$20))/AC15</f>
        <v>0.63910430383909189</v>
      </c>
      <c r="D15" s="93">
        <f t="shared" si="6"/>
        <v>2.0784243901480424</v>
      </c>
      <c r="E15" s="93">
        <v>3</v>
      </c>
      <c r="F15" s="94">
        <v>3.252089490968801</v>
      </c>
      <c r="G15" s="8">
        <v>20915.017025619811</v>
      </c>
      <c r="H15" s="8">
        <v>3559.7129837646071</v>
      </c>
      <c r="I15" s="8">
        <v>3949.3315127040701</v>
      </c>
      <c r="J15" s="8">
        <v>40.993536254202702</v>
      </c>
      <c r="K15" s="8">
        <v>10575.425898349509</v>
      </c>
      <c r="L15" s="8">
        <v>5429.8387168646359</v>
      </c>
      <c r="M15" s="95">
        <v>622.84640691799746</v>
      </c>
      <c r="N15" s="96">
        <v>31850.42591496752</v>
      </c>
      <c r="O15" s="71">
        <v>614.72462721249997</v>
      </c>
      <c r="P15" s="8">
        <v>1293.247590744</v>
      </c>
      <c r="Q15" s="95">
        <v>2124.9085359368569</v>
      </c>
      <c r="R15" s="71">
        <v>0</v>
      </c>
      <c r="S15" s="8">
        <v>0</v>
      </c>
      <c r="T15" s="8">
        <v>3051.1823803467</v>
      </c>
      <c r="U15" s="8">
        <v>26.68196364452357</v>
      </c>
      <c r="V15" s="8">
        <v>66.68698008996428</v>
      </c>
      <c r="W15" s="8">
        <v>2.8444897645</v>
      </c>
      <c r="X15" s="8">
        <v>15.70219556957143</v>
      </c>
      <c r="Y15" s="95">
        <v>153.0265613725665</v>
      </c>
      <c r="Z15" s="97">
        <v>57119.19591994775</v>
      </c>
      <c r="AA15" s="8"/>
      <c r="AB15" s="98">
        <f t="shared" si="7"/>
        <v>1596.9560861766261</v>
      </c>
      <c r="AC15" s="71">
        <f t="shared" si="2"/>
        <v>143008.7493262479</v>
      </c>
      <c r="AD15" s="8">
        <v>19527.039089819631</v>
      </c>
      <c r="AE15" s="95">
        <f t="shared" si="8"/>
        <v>123481.71023642826</v>
      </c>
      <c r="AF15" s="99" t="s">
        <v>95</v>
      </c>
      <c r="AG15" s="100">
        <v>352.94729914854832</v>
      </c>
      <c r="AH15" s="101">
        <v>57.335854853739008</v>
      </c>
      <c r="AI15" s="101">
        <v>42.320980333519792</v>
      </c>
      <c r="AJ15" s="101">
        <v>0.44094791422609131</v>
      </c>
      <c r="AK15" s="101">
        <v>233.80057276703511</v>
      </c>
      <c r="AL15" s="101">
        <v>115.2327583645127</v>
      </c>
      <c r="AM15" s="98">
        <v>9.9623255135695583</v>
      </c>
      <c r="AN15" s="101">
        <v>355.10675806337667</v>
      </c>
      <c r="AO15" s="100">
        <v>5.3510961454588362</v>
      </c>
      <c r="AP15" s="101">
        <v>10.380752020672119</v>
      </c>
      <c r="AQ15" s="98">
        <v>25.426204189413301</v>
      </c>
      <c r="AR15" s="100">
        <v>0</v>
      </c>
      <c r="AS15" s="101">
        <v>0</v>
      </c>
      <c r="AT15" s="101">
        <v>21.86119701688208</v>
      </c>
      <c r="AU15" s="101">
        <v>1.0611201922192599</v>
      </c>
      <c r="AV15" s="101">
        <v>3.238878658144039</v>
      </c>
      <c r="AW15" s="101">
        <v>0.2604127576175887</v>
      </c>
      <c r="AX15" s="101">
        <v>-5.6277209866580254E-4</v>
      </c>
      <c r="AY15" s="98">
        <v>2.6254766101581621</v>
      </c>
      <c r="AZ15" s="100">
        <v>359.60401439963198</v>
      </c>
      <c r="BA15" s="98"/>
      <c r="BB15" s="102">
        <f t="shared" si="9"/>
        <v>1596.9560861766261</v>
      </c>
      <c r="BC15" s="10"/>
      <c r="BD15" s="71">
        <f t="shared" si="3"/>
        <v>37111</v>
      </c>
      <c r="BE15" s="8" t="str">
        <f t="shared" si="3"/>
        <v>Tochten hoge afdeling NOP</v>
      </c>
      <c r="BF15" s="7">
        <f t="shared" si="10"/>
        <v>0.14871792407784401</v>
      </c>
      <c r="BG15" s="7">
        <f t="shared" si="4"/>
        <v>2.5292500323646081E-2</v>
      </c>
      <c r="BH15" s="7">
        <f t="shared" si="4"/>
        <v>2.7911946030178728E-2</v>
      </c>
      <c r="BI15" s="7">
        <f t="shared" si="4"/>
        <v>2.8973391043301633E-4</v>
      </c>
      <c r="BJ15" s="7">
        <f t="shared" si="4"/>
        <v>7.5584371739782871E-2</v>
      </c>
      <c r="BK15" s="7">
        <f t="shared" si="4"/>
        <v>3.8774351229232125E-2</v>
      </c>
      <c r="BL15" s="7">
        <f t="shared" si="4"/>
        <v>4.4249651536209956E-3</v>
      </c>
      <c r="BM15" s="7">
        <f t="shared" si="4"/>
        <v>0.22519973655290107</v>
      </c>
      <c r="BN15" s="7">
        <f t="shared" si="4"/>
        <v>4.3359285797498395E-3</v>
      </c>
      <c r="BO15" s="7">
        <f t="shared" si="4"/>
        <v>9.1157243798467621E-3</v>
      </c>
      <c r="BP15" s="7">
        <f t="shared" si="4"/>
        <v>1.5036385887276597E-2</v>
      </c>
      <c r="BQ15" s="7">
        <f t="shared" si="4"/>
        <v>0</v>
      </c>
      <c r="BR15" s="7">
        <f t="shared" si="4"/>
        <v>0</v>
      </c>
      <c r="BS15" s="7">
        <f t="shared" si="4"/>
        <v>2.1488500471764871E-2</v>
      </c>
      <c r="BT15" s="7">
        <f t="shared" si="4"/>
        <v>1.9399570982508307E-4</v>
      </c>
      <c r="BU15" s="7">
        <f t="shared" si="4"/>
        <v>4.8896210251154267E-4</v>
      </c>
      <c r="BV15" s="7">
        <f t="shared" si="4"/>
        <v>2.1711276664858669E-5</v>
      </c>
      <c r="BW15" s="7">
        <f t="shared" si="5"/>
        <v>1.0979491025162666E-4</v>
      </c>
      <c r="BX15" s="7">
        <f t="shared" si="5"/>
        <v>1.0884091967522452E-3</v>
      </c>
      <c r="BY15" s="7">
        <f t="shared" si="5"/>
        <v>0.40192505846771776</v>
      </c>
      <c r="BZ15" s="72">
        <f t="shared" si="11"/>
        <v>1</v>
      </c>
      <c r="CA15" s="261">
        <f>SUMPRODUCT(BF15:BY15,$BF$20:$BY$20)</f>
        <v>0.63910430383909189</v>
      </c>
      <c r="CB15" s="74">
        <f t="shared" si="13"/>
        <v>0</v>
      </c>
    </row>
    <row r="16" spans="1:80" x14ac:dyDescent="0.3">
      <c r="A16" s="91">
        <v>37112</v>
      </c>
      <c r="B16" s="92" t="s">
        <v>96</v>
      </c>
      <c r="C16" s="88">
        <f>(SUMPRODUCT(G16:AA16,$G$20:$AA$20)+SUMPRODUCT(AG16:BA16,$AG$20:$BA$20))/AC16</f>
        <v>0.65422575640997105</v>
      </c>
      <c r="D16" s="93">
        <f t="shared" si="6"/>
        <v>2.178721046547559</v>
      </c>
      <c r="E16" s="93">
        <v>3.8</v>
      </c>
      <c r="F16" s="94">
        <v>3.3302281746031746</v>
      </c>
      <c r="G16" s="8">
        <v>2674.7019179734339</v>
      </c>
      <c r="H16" s="8">
        <v>876.36565170054246</v>
      </c>
      <c r="I16" s="8">
        <v>671.69001285959177</v>
      </c>
      <c r="J16" s="8">
        <v>3.0811970937274169</v>
      </c>
      <c r="K16" s="8">
        <v>2080.0163810708582</v>
      </c>
      <c r="L16" s="8">
        <v>2014.883857380639</v>
      </c>
      <c r="M16" s="95">
        <v>905.18321579102962</v>
      </c>
      <c r="N16" s="96">
        <v>81510.964695958683</v>
      </c>
      <c r="O16" s="71">
        <v>39.203639674285718</v>
      </c>
      <c r="P16" s="8">
        <v>52.40787091</v>
      </c>
      <c r="Q16" s="95">
        <v>471.99021430714282</v>
      </c>
      <c r="R16" s="71">
        <v>18994.428571428569</v>
      </c>
      <c r="S16" s="8">
        <v>0</v>
      </c>
      <c r="T16" s="8">
        <v>1443.3366398000001</v>
      </c>
      <c r="U16" s="8">
        <v>84.67815256357143</v>
      </c>
      <c r="V16" s="8">
        <v>231.52240942428571</v>
      </c>
      <c r="W16" s="8">
        <v>1.0753124194999999</v>
      </c>
      <c r="X16" s="8">
        <v>569.6393844469286</v>
      </c>
      <c r="Y16" s="95">
        <v>83.903324218928574</v>
      </c>
      <c r="Z16" s="97">
        <v>26567.45861669063</v>
      </c>
      <c r="AA16" s="8"/>
      <c r="AB16" s="98">
        <f t="shared" si="7"/>
        <v>540795.37451342447</v>
      </c>
      <c r="AC16" s="71">
        <f t="shared" si="2"/>
        <v>680071.9055791368</v>
      </c>
      <c r="AD16" s="8">
        <v>24833.567753253199</v>
      </c>
      <c r="AE16" s="95">
        <f t="shared" si="8"/>
        <v>655238.33782588365</v>
      </c>
      <c r="AF16" s="99" t="s">
        <v>97</v>
      </c>
      <c r="AG16" s="100">
        <v>111626.37386175241</v>
      </c>
      <c r="AH16" s="101">
        <v>18258.741121262468</v>
      </c>
      <c r="AI16" s="101">
        <v>14506.799997007151</v>
      </c>
      <c r="AJ16" s="101">
        <v>151.06676577811641</v>
      </c>
      <c r="AK16" s="101">
        <v>71372.530419046147</v>
      </c>
      <c r="AL16" s="101">
        <v>35359.05917492968</v>
      </c>
      <c r="AM16" s="98">
        <v>3175.759925706403</v>
      </c>
      <c r="AN16" s="101">
        <v>120490.1491024826</v>
      </c>
      <c r="AO16" s="100">
        <v>1919.2775135511411</v>
      </c>
      <c r="AP16" s="101">
        <v>3802.8248854360982</v>
      </c>
      <c r="AQ16" s="98">
        <v>8511.0464035684654</v>
      </c>
      <c r="AR16" s="100">
        <v>0</v>
      </c>
      <c r="AS16" s="101">
        <v>0</v>
      </c>
      <c r="AT16" s="101">
        <v>8258.2425160080638</v>
      </c>
      <c r="AU16" s="101">
        <v>307.4895298309338</v>
      </c>
      <c r="AV16" s="101">
        <v>927.47001311039639</v>
      </c>
      <c r="AW16" s="101">
        <v>72.561082037758339</v>
      </c>
      <c r="AX16" s="101">
        <v>11.94069352631082</v>
      </c>
      <c r="AY16" s="98">
        <v>828.15556361448614</v>
      </c>
      <c r="AZ16" s="100">
        <v>141215.88594477589</v>
      </c>
      <c r="BA16" s="98"/>
      <c r="BB16" s="102">
        <f t="shared" si="9"/>
        <v>540795.37451342447</v>
      </c>
      <c r="BC16" s="10"/>
      <c r="BD16" s="71">
        <f t="shared" si="3"/>
        <v>37112</v>
      </c>
      <c r="BE16" s="8" t="str">
        <f t="shared" si="3"/>
        <v>Vaarten NOP</v>
      </c>
      <c r="BF16" s="7">
        <f t="shared" si="10"/>
        <v>0.16807204479707058</v>
      </c>
      <c r="BG16" s="7">
        <f t="shared" si="4"/>
        <v>2.8136887608477084E-2</v>
      </c>
      <c r="BH16" s="7">
        <f t="shared" si="4"/>
        <v>2.2318948754310057E-2</v>
      </c>
      <c r="BI16" s="7">
        <f t="shared" si="4"/>
        <v>2.2666421242702891E-4</v>
      </c>
      <c r="BJ16" s="7">
        <f t="shared" si="4"/>
        <v>0.10800703013538865</v>
      </c>
      <c r="BK16" s="7">
        <f t="shared" si="4"/>
        <v>5.4955869703929842E-2</v>
      </c>
      <c r="BL16" s="7">
        <f t="shared" si="4"/>
        <v>6.0007524322331415E-3</v>
      </c>
      <c r="BM16" s="7">
        <f t="shared" si="4"/>
        <v>0.29702905257705187</v>
      </c>
      <c r="BN16" s="7">
        <f t="shared" si="4"/>
        <v>2.87981482128367E-3</v>
      </c>
      <c r="BO16" s="7">
        <f t="shared" si="4"/>
        <v>5.6688604906609871E-3</v>
      </c>
      <c r="BP16" s="7">
        <f t="shared" si="4"/>
        <v>1.3208951206748967E-2</v>
      </c>
      <c r="BQ16" s="7">
        <f t="shared" si="4"/>
        <v>2.7930029774209334E-2</v>
      </c>
      <c r="BR16" s="7">
        <f t="shared" si="4"/>
        <v>0</v>
      </c>
      <c r="BS16" s="7">
        <f t="shared" si="4"/>
        <v>1.4265519684343343E-2</v>
      </c>
      <c r="BT16" s="7">
        <f t="shared" si="4"/>
        <v>5.7665620234751856E-4</v>
      </c>
      <c r="BU16" s="7">
        <f t="shared" si="4"/>
        <v>1.7042204111456501E-3</v>
      </c>
      <c r="BV16" s="7">
        <f t="shared" si="4"/>
        <v>1.0827736575083326E-4</v>
      </c>
      <c r="BW16" s="7">
        <f t="shared" si="5"/>
        <v>8.5517439141670828E-4</v>
      </c>
      <c r="BX16" s="7">
        <f t="shared" si="5"/>
        <v>1.3411212554894794E-3</v>
      </c>
      <c r="BY16" s="7">
        <f t="shared" si="5"/>
        <v>0.24671412417571534</v>
      </c>
      <c r="BZ16" s="72">
        <f t="shared" si="11"/>
        <v>0.99999999999999978</v>
      </c>
      <c r="CA16" s="261">
        <f>SUMPRODUCT(BF16:BY16,$BF$20:$BY$20)</f>
        <v>0.65422575640997094</v>
      </c>
      <c r="CB16" s="74">
        <f t="shared" si="13"/>
        <v>0</v>
      </c>
    </row>
    <row r="17" spans="1:80" x14ac:dyDescent="0.3">
      <c r="A17" s="91">
        <v>37113</v>
      </c>
      <c r="B17" s="92" t="s">
        <v>98</v>
      </c>
      <c r="C17" s="88">
        <f t="shared" si="1"/>
        <v>0.86958493016721949</v>
      </c>
      <c r="D17" s="93">
        <f t="shared" si="6"/>
        <v>1.9147620208004563</v>
      </c>
      <c r="E17" s="93">
        <v>2.5</v>
      </c>
      <c r="F17" s="94">
        <v>2.2019264069264071</v>
      </c>
      <c r="G17" s="8">
        <v>4752.6769214409496</v>
      </c>
      <c r="H17" s="8">
        <v>1567.0171301298619</v>
      </c>
      <c r="I17" s="8">
        <v>3224.7335810925042</v>
      </c>
      <c r="J17" s="8">
        <v>4.8430371783268127</v>
      </c>
      <c r="K17" s="8">
        <v>5000.567266014451</v>
      </c>
      <c r="L17" s="8">
        <v>4844.7279204138667</v>
      </c>
      <c r="M17" s="95">
        <v>1270.7832750123439</v>
      </c>
      <c r="N17" s="96">
        <v>107029.54997215389</v>
      </c>
      <c r="O17" s="71">
        <v>294.03229754285712</v>
      </c>
      <c r="P17" s="8">
        <v>1.23063915</v>
      </c>
      <c r="Q17" s="95">
        <v>1192.0178922142859</v>
      </c>
      <c r="R17" s="71">
        <v>4105.7142857142853</v>
      </c>
      <c r="S17" s="8">
        <v>0</v>
      </c>
      <c r="T17" s="8">
        <v>2280.1661681999999</v>
      </c>
      <c r="U17" s="8">
        <v>41.613561474285717</v>
      </c>
      <c r="V17" s="8">
        <v>385.73097799999999</v>
      </c>
      <c r="W17" s="8">
        <v>0.90326243250000005</v>
      </c>
      <c r="X17" s="8">
        <v>381.43610352799999</v>
      </c>
      <c r="Y17" s="95">
        <v>76.909587063285713</v>
      </c>
      <c r="Z17" s="97">
        <v>30214.023252391042</v>
      </c>
      <c r="AA17" s="8"/>
      <c r="AB17" s="98">
        <f t="shared" si="7"/>
        <v>218227.98449482038</v>
      </c>
      <c r="AC17" s="71">
        <f t="shared" si="2"/>
        <v>384896.66162596713</v>
      </c>
      <c r="AD17" s="8">
        <v>38606.939685562902</v>
      </c>
      <c r="AE17" s="95">
        <f t="shared" si="8"/>
        <v>346289.72194040421</v>
      </c>
      <c r="AF17" s="99" t="s">
        <v>99</v>
      </c>
      <c r="AG17" s="100">
        <v>14698.95019868015</v>
      </c>
      <c r="AH17" s="101">
        <v>4173.9221856851536</v>
      </c>
      <c r="AI17" s="101">
        <v>4128.6274207381412</v>
      </c>
      <c r="AJ17" s="101">
        <v>23.831926313975188</v>
      </c>
      <c r="AK17" s="101">
        <v>16313.78918349529</v>
      </c>
      <c r="AL17" s="101">
        <v>10200.66084333893</v>
      </c>
      <c r="AM17" s="98">
        <v>6365.230442119102</v>
      </c>
      <c r="AN17" s="101">
        <v>139760.35934016359</v>
      </c>
      <c r="AO17" s="100">
        <v>1025.4077065413289</v>
      </c>
      <c r="AP17" s="101">
        <v>11.61428921990783</v>
      </c>
      <c r="AQ17" s="98">
        <v>2373.650003852124</v>
      </c>
      <c r="AR17" s="100">
        <v>0</v>
      </c>
      <c r="AS17" s="101">
        <v>0</v>
      </c>
      <c r="AT17" s="101">
        <v>12588.155678751251</v>
      </c>
      <c r="AU17" s="101">
        <v>22.91233881702162</v>
      </c>
      <c r="AV17" s="101">
        <v>5891.6976858316903</v>
      </c>
      <c r="AW17" s="101">
        <v>180.95593164277531</v>
      </c>
      <c r="AX17" s="101">
        <v>21.455569243811841</v>
      </c>
      <c r="AY17" s="98">
        <v>383.26960292070601</v>
      </c>
      <c r="AZ17" s="100">
        <v>63.494147465437791</v>
      </c>
      <c r="BA17" s="98"/>
      <c r="BB17" s="102">
        <f t="shared" si="9"/>
        <v>218227.98449482038</v>
      </c>
      <c r="BC17" s="10"/>
      <c r="BD17" s="71">
        <f t="shared" si="3"/>
        <v>37113</v>
      </c>
      <c r="BE17" s="8" t="str">
        <f t="shared" si="3"/>
        <v>Vaarten hoge afdeling ZOF</v>
      </c>
      <c r="BF17" s="7">
        <f t="shared" si="10"/>
        <v>5.0537271583362547E-2</v>
      </c>
      <c r="BG17" s="7">
        <f t="shared" si="4"/>
        <v>1.4915534189262249E-2</v>
      </c>
      <c r="BH17" s="7">
        <f t="shared" si="4"/>
        <v>1.9104766902282088E-2</v>
      </c>
      <c r="BI17" s="7">
        <f t="shared" si="4"/>
        <v>7.450042141484617E-5</v>
      </c>
      <c r="BJ17" s="7">
        <f t="shared" si="4"/>
        <v>5.5376828573853662E-2</v>
      </c>
      <c r="BK17" s="7">
        <f t="shared" si="4"/>
        <v>3.9089423899377765E-2</v>
      </c>
      <c r="BL17" s="7">
        <f t="shared" si="4"/>
        <v>1.9839126909736441E-2</v>
      </c>
      <c r="BM17" s="7">
        <f t="shared" si="4"/>
        <v>0.64118485275962644</v>
      </c>
      <c r="BN17" s="7">
        <f t="shared" si="4"/>
        <v>3.4280370178070927E-3</v>
      </c>
      <c r="BO17" s="7">
        <f t="shared" si="4"/>
        <v>3.3372407844862542E-5</v>
      </c>
      <c r="BP17" s="7">
        <f t="shared" si="4"/>
        <v>9.2639616072623561E-3</v>
      </c>
      <c r="BQ17" s="7">
        <f t="shared" si="4"/>
        <v>1.066705610895663E-2</v>
      </c>
      <c r="BR17" s="7">
        <f t="shared" si="4"/>
        <v>0</v>
      </c>
      <c r="BS17" s="7">
        <f t="shared" si="4"/>
        <v>3.8629386350458685E-2</v>
      </c>
      <c r="BT17" s="7">
        <f t="shared" si="4"/>
        <v>1.67644738768901E-4</v>
      </c>
      <c r="BU17" s="7">
        <f t="shared" si="4"/>
        <v>1.6309387141247633E-2</v>
      </c>
      <c r="BV17" s="7">
        <f t="shared" si="4"/>
        <v>4.7248836429763966E-4</v>
      </c>
      <c r="BW17" s="7">
        <f t="shared" si="5"/>
        <v>1.0467528376833049E-3</v>
      </c>
      <c r="BX17" s="7">
        <f t="shared" si="5"/>
        <v>1.1955915336859487E-3</v>
      </c>
      <c r="BY17" s="7">
        <f t="shared" si="5"/>
        <v>7.866401665307092E-2</v>
      </c>
      <c r="BZ17" s="72">
        <f t="shared" si="11"/>
        <v>0.99999999999999989</v>
      </c>
      <c r="CA17" s="261">
        <f>SUMPRODUCT(BF17:BY17,$BF$19:$BY$19)</f>
        <v>0.86958493016721961</v>
      </c>
      <c r="CB17" s="74">
        <f t="shared" si="13"/>
        <v>0</v>
      </c>
    </row>
    <row r="18" spans="1:80" x14ac:dyDescent="0.3">
      <c r="A18" s="105">
        <v>37114</v>
      </c>
      <c r="B18" s="106" t="s">
        <v>100</v>
      </c>
      <c r="C18" s="107">
        <f t="shared" si="1"/>
        <v>0.83001956909022956</v>
      </c>
      <c r="D18" s="108">
        <f t="shared" si="6"/>
        <v>2.5504137336685053</v>
      </c>
      <c r="E18" s="108">
        <v>3.8</v>
      </c>
      <c r="F18" s="109">
        <v>3.072715184852775</v>
      </c>
      <c r="G18" s="110">
        <v>3919.0397914367431</v>
      </c>
      <c r="H18" s="110">
        <v>1208.5853582780551</v>
      </c>
      <c r="I18" s="110">
        <v>1922.6432211120521</v>
      </c>
      <c r="J18" s="110">
        <v>5.5575987330626617</v>
      </c>
      <c r="K18" s="110">
        <v>1791.976569122799</v>
      </c>
      <c r="L18" s="110">
        <v>3481.2608681250599</v>
      </c>
      <c r="M18" s="111">
        <v>4401.7380340604668</v>
      </c>
      <c r="N18" s="112">
        <v>268982.17552313942</v>
      </c>
      <c r="O18" s="113">
        <v>98.010527749999994</v>
      </c>
      <c r="P18" s="110">
        <v>2287.6988474999998</v>
      </c>
      <c r="Q18" s="111">
        <v>871.35607957142861</v>
      </c>
      <c r="R18" s="113">
        <v>49803.485714285707</v>
      </c>
      <c r="S18" s="110">
        <v>738.07142857142856</v>
      </c>
      <c r="T18" s="110">
        <v>5058.799078</v>
      </c>
      <c r="U18" s="110">
        <v>177.44763152857141</v>
      </c>
      <c r="V18" s="110">
        <v>4598.1281930714295</v>
      </c>
      <c r="W18" s="110">
        <v>132.07468420000001</v>
      </c>
      <c r="X18" s="110">
        <v>531.14773672071431</v>
      </c>
      <c r="Y18" s="111">
        <v>260.80438932285722</v>
      </c>
      <c r="Z18" s="266">
        <v>18620.917733296581</v>
      </c>
      <c r="AA18" s="110"/>
      <c r="AB18" s="115">
        <f t="shared" si="7"/>
        <v>494453.40013106586</v>
      </c>
      <c r="AC18" s="113">
        <f t="shared" si="2"/>
        <v>863344.31913889223</v>
      </c>
      <c r="AD18" s="110">
        <v>59942.609104345909</v>
      </c>
      <c r="AE18" s="111">
        <f t="shared" si="8"/>
        <v>803401.71003454633</v>
      </c>
      <c r="AF18" s="116" t="s">
        <v>101</v>
      </c>
      <c r="AG18" s="117">
        <v>44122.501089648627</v>
      </c>
      <c r="AH18" s="118">
        <v>14693.387788446469</v>
      </c>
      <c r="AI18" s="118">
        <v>17738.939894304622</v>
      </c>
      <c r="AJ18" s="118">
        <v>45.491605348983413</v>
      </c>
      <c r="AK18" s="118">
        <v>25001.556663451509</v>
      </c>
      <c r="AL18" s="118">
        <v>27014.49368863838</v>
      </c>
      <c r="AM18" s="115">
        <v>7194.3612973804693</v>
      </c>
      <c r="AN18" s="118">
        <v>316649.95492742967</v>
      </c>
      <c r="AO18" s="117">
        <v>1549.8929098055189</v>
      </c>
      <c r="AP18" s="118">
        <v>45.571819466156917</v>
      </c>
      <c r="AQ18" s="115">
        <v>6703.8744185621836</v>
      </c>
      <c r="AR18" s="117">
        <v>768.76442961592556</v>
      </c>
      <c r="AS18" s="118">
        <v>0</v>
      </c>
      <c r="AT18" s="118">
        <v>13850.431201436801</v>
      </c>
      <c r="AU18" s="118">
        <v>82.260809919760888</v>
      </c>
      <c r="AV18" s="118">
        <v>10972.650814337239</v>
      </c>
      <c r="AW18" s="118">
        <v>719.91554362841794</v>
      </c>
      <c r="AX18" s="118">
        <v>78.538332317632523</v>
      </c>
      <c r="AY18" s="115">
        <v>1042.82009538952</v>
      </c>
      <c r="AZ18" s="117">
        <v>6177.9928019381614</v>
      </c>
      <c r="BA18" s="115"/>
      <c r="BB18" s="119">
        <f t="shared" si="9"/>
        <v>494453.40013106586</v>
      </c>
      <c r="BC18" s="10"/>
      <c r="BD18" s="113">
        <f t="shared" si="3"/>
        <v>37114</v>
      </c>
      <c r="BE18" s="110" t="str">
        <f t="shared" si="3"/>
        <v>Vaarten Lage afdeling ZOF</v>
      </c>
      <c r="BF18" s="120">
        <f t="shared" si="10"/>
        <v>5.5645864362671035E-2</v>
      </c>
      <c r="BG18" s="120">
        <f t="shared" si="4"/>
        <v>1.8419039535217306E-2</v>
      </c>
      <c r="BH18" s="120">
        <f t="shared" si="4"/>
        <v>2.2773744703651171E-2</v>
      </c>
      <c r="BI18" s="120">
        <f t="shared" si="4"/>
        <v>5.9129599802038463E-5</v>
      </c>
      <c r="BJ18" s="120">
        <f t="shared" si="4"/>
        <v>3.1034585667162818E-2</v>
      </c>
      <c r="BK18" s="120">
        <f t="shared" si="4"/>
        <v>3.5322818348049352E-2</v>
      </c>
      <c r="BL18" s="120">
        <f t="shared" si="4"/>
        <v>1.3431604371946286E-2</v>
      </c>
      <c r="BM18" s="120">
        <f t="shared" si="4"/>
        <v>0.67832974338058316</v>
      </c>
      <c r="BN18" s="120">
        <f t="shared" si="4"/>
        <v>1.908744171965078E-3</v>
      </c>
      <c r="BO18" s="120">
        <f t="shared" si="4"/>
        <v>2.702595725994216E-3</v>
      </c>
      <c r="BP18" s="120">
        <f t="shared" si="4"/>
        <v>8.7742866087185453E-3</v>
      </c>
      <c r="BQ18" s="120">
        <f t="shared" si="4"/>
        <v>5.8577150532875315E-2</v>
      </c>
      <c r="BR18" s="120">
        <f t="shared" si="4"/>
        <v>8.5489811215482133E-4</v>
      </c>
      <c r="BS18" s="120">
        <f t="shared" si="4"/>
        <v>2.1902304631247295E-2</v>
      </c>
      <c r="BT18" s="120">
        <f t="shared" si="4"/>
        <v>3.0081676069562598E-4</v>
      </c>
      <c r="BU18" s="120">
        <f t="shared" si="4"/>
        <v>1.8035421861510727E-2</v>
      </c>
      <c r="BV18" s="120">
        <f t="shared" si="4"/>
        <v>9.8684871023209018E-4</v>
      </c>
      <c r="BW18" s="120">
        <f t="shared" si="5"/>
        <v>7.0619109377641296E-4</v>
      </c>
      <c r="BX18" s="120">
        <f t="shared" si="5"/>
        <v>1.5099705364513482E-3</v>
      </c>
      <c r="BY18" s="120">
        <f t="shared" si="5"/>
        <v>2.8724241285295549E-2</v>
      </c>
      <c r="BZ18" s="121">
        <f t="shared" si="11"/>
        <v>1.0000000000000002</v>
      </c>
      <c r="CA18" s="261">
        <f>SUMPRODUCT(BF18:BY18,$BF$19:$BY$19)</f>
        <v>0.83001956909022978</v>
      </c>
      <c r="CB18" s="74">
        <f t="shared" si="13"/>
        <v>0</v>
      </c>
    </row>
    <row r="19" spans="1:80" x14ac:dyDescent="0.3">
      <c r="B19" s="6" t="s">
        <v>102</v>
      </c>
      <c r="G19" s="134">
        <v>0</v>
      </c>
      <c r="H19" s="134">
        <v>0</v>
      </c>
      <c r="I19" s="134">
        <v>1</v>
      </c>
      <c r="J19" s="134">
        <v>1</v>
      </c>
      <c r="K19" s="134">
        <v>1</v>
      </c>
      <c r="L19" s="134">
        <v>1</v>
      </c>
      <c r="M19" s="134">
        <v>1</v>
      </c>
      <c r="N19" s="134">
        <v>1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1</v>
      </c>
      <c r="U19" s="134">
        <v>0</v>
      </c>
      <c r="V19" s="134">
        <v>0.48</v>
      </c>
      <c r="W19" s="134">
        <v>1</v>
      </c>
      <c r="X19" s="134">
        <v>0</v>
      </c>
      <c r="Y19" s="134">
        <v>0</v>
      </c>
      <c r="Z19" s="134">
        <v>0.61</v>
      </c>
      <c r="AA19" s="134"/>
      <c r="AB19" s="134"/>
      <c r="AC19" s="134"/>
      <c r="AD19" s="134"/>
      <c r="AE19" s="134"/>
      <c r="AF19" s="134"/>
      <c r="AG19" s="134">
        <v>0</v>
      </c>
      <c r="AH19" s="134">
        <v>0</v>
      </c>
      <c r="AI19" s="134">
        <v>1</v>
      </c>
      <c r="AJ19" s="134">
        <v>1</v>
      </c>
      <c r="AK19" s="134">
        <v>1</v>
      </c>
      <c r="AL19" s="134">
        <v>1</v>
      </c>
      <c r="AM19" s="134">
        <v>1</v>
      </c>
      <c r="AN19" s="134">
        <v>1</v>
      </c>
      <c r="AO19" s="134">
        <v>0</v>
      </c>
      <c r="AP19" s="134">
        <v>0</v>
      </c>
      <c r="AQ19" s="134">
        <v>0</v>
      </c>
      <c r="AR19" s="134">
        <v>0</v>
      </c>
      <c r="AS19" s="134">
        <v>0</v>
      </c>
      <c r="AT19" s="134">
        <v>1</v>
      </c>
      <c r="AU19" s="134">
        <v>0</v>
      </c>
      <c r="AV19" s="134">
        <v>0.48</v>
      </c>
      <c r="AW19" s="134">
        <v>1</v>
      </c>
      <c r="AX19" s="134">
        <v>0</v>
      </c>
      <c r="AY19" s="134">
        <v>0</v>
      </c>
      <c r="AZ19" s="134">
        <v>0.61</v>
      </c>
      <c r="BA19" s="134">
        <v>0</v>
      </c>
      <c r="BB19" s="5"/>
      <c r="BC19" s="8"/>
      <c r="BD19" s="5"/>
      <c r="BE19" s="5"/>
      <c r="BF19" s="134">
        <f>G19</f>
        <v>0</v>
      </c>
      <c r="BG19" s="134">
        <f t="shared" ref="BG19:BV20" si="14">H19</f>
        <v>0</v>
      </c>
      <c r="BH19" s="134">
        <f t="shared" si="14"/>
        <v>1</v>
      </c>
      <c r="BI19" s="134">
        <f t="shared" si="14"/>
        <v>1</v>
      </c>
      <c r="BJ19" s="134">
        <f t="shared" si="14"/>
        <v>1</v>
      </c>
      <c r="BK19" s="134">
        <f t="shared" si="14"/>
        <v>1</v>
      </c>
      <c r="BL19" s="134">
        <f t="shared" si="14"/>
        <v>1</v>
      </c>
      <c r="BM19" s="134">
        <f t="shared" si="14"/>
        <v>1</v>
      </c>
      <c r="BN19" s="134">
        <f t="shared" si="14"/>
        <v>0</v>
      </c>
      <c r="BO19" s="134">
        <f t="shared" si="14"/>
        <v>0</v>
      </c>
      <c r="BP19" s="134">
        <f t="shared" si="14"/>
        <v>0</v>
      </c>
      <c r="BQ19" s="134">
        <f t="shared" si="14"/>
        <v>0</v>
      </c>
      <c r="BR19" s="134">
        <f t="shared" si="14"/>
        <v>0</v>
      </c>
      <c r="BS19" s="134">
        <f t="shared" si="14"/>
        <v>1</v>
      </c>
      <c r="BT19" s="134">
        <f t="shared" si="14"/>
        <v>0</v>
      </c>
      <c r="BU19" s="134">
        <f t="shared" si="14"/>
        <v>0.48</v>
      </c>
      <c r="BV19" s="134">
        <f t="shared" si="14"/>
        <v>1</v>
      </c>
      <c r="BW19" s="134">
        <f t="shared" ref="BW19:BY20" si="15">X19</f>
        <v>0</v>
      </c>
      <c r="BX19" s="134">
        <f t="shared" si="15"/>
        <v>0</v>
      </c>
      <c r="BY19" s="134">
        <f t="shared" si="15"/>
        <v>0.61</v>
      </c>
      <c r="BZ19" s="90"/>
      <c r="CA19" s="7"/>
      <c r="CB19" s="5"/>
    </row>
    <row r="20" spans="1:80" x14ac:dyDescent="0.3">
      <c r="G20" s="134">
        <v>0</v>
      </c>
      <c r="H20" s="134">
        <v>0</v>
      </c>
      <c r="I20" s="134">
        <v>1</v>
      </c>
      <c r="J20" s="134">
        <v>1</v>
      </c>
      <c r="K20" s="134">
        <v>1</v>
      </c>
      <c r="L20" s="134">
        <v>1</v>
      </c>
      <c r="M20" s="134">
        <v>1</v>
      </c>
      <c r="N20" s="134">
        <v>1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1</v>
      </c>
      <c r="U20" s="134">
        <v>0</v>
      </c>
      <c r="V20" s="134">
        <v>0.48</v>
      </c>
      <c r="W20" s="134">
        <v>1</v>
      </c>
      <c r="X20" s="134">
        <v>0</v>
      </c>
      <c r="Y20" s="134">
        <v>0</v>
      </c>
      <c r="Z20" s="134">
        <v>0.61</v>
      </c>
      <c r="AA20" s="134"/>
      <c r="AB20" s="134"/>
      <c r="AC20" s="134"/>
      <c r="AD20" s="134"/>
      <c r="AE20" s="134"/>
      <c r="AF20" s="134"/>
      <c r="AG20" s="134">
        <v>0</v>
      </c>
      <c r="AH20" s="134">
        <v>0</v>
      </c>
      <c r="AI20" s="134">
        <v>1</v>
      </c>
      <c r="AJ20" s="134">
        <v>1</v>
      </c>
      <c r="AK20" s="134">
        <v>1</v>
      </c>
      <c r="AL20" s="134">
        <v>1</v>
      </c>
      <c r="AM20" s="134">
        <v>1</v>
      </c>
      <c r="AN20" s="134">
        <v>1</v>
      </c>
      <c r="AO20" s="134">
        <v>0</v>
      </c>
      <c r="AP20" s="134">
        <v>0</v>
      </c>
      <c r="AQ20" s="134">
        <v>0</v>
      </c>
      <c r="AR20" s="134">
        <v>0</v>
      </c>
      <c r="AS20" s="134">
        <v>0</v>
      </c>
      <c r="AT20" s="134">
        <v>1</v>
      </c>
      <c r="AU20" s="134">
        <v>0</v>
      </c>
      <c r="AV20" s="134">
        <v>0.48</v>
      </c>
      <c r="AW20" s="134">
        <v>1</v>
      </c>
      <c r="AX20" s="134">
        <v>0</v>
      </c>
      <c r="AY20" s="134">
        <v>0</v>
      </c>
      <c r="AZ20" s="134">
        <v>0.61</v>
      </c>
      <c r="BA20" s="134">
        <v>0</v>
      </c>
      <c r="BF20" s="134">
        <f>G20</f>
        <v>0</v>
      </c>
      <c r="BG20" s="134">
        <f t="shared" si="14"/>
        <v>0</v>
      </c>
      <c r="BH20" s="134">
        <f t="shared" si="14"/>
        <v>1</v>
      </c>
      <c r="BI20" s="134">
        <f t="shared" si="14"/>
        <v>1</v>
      </c>
      <c r="BJ20" s="134">
        <f t="shared" si="14"/>
        <v>1</v>
      </c>
      <c r="BK20" s="134">
        <f t="shared" si="14"/>
        <v>1</v>
      </c>
      <c r="BL20" s="134">
        <f t="shared" si="14"/>
        <v>1</v>
      </c>
      <c r="BM20" s="134">
        <f t="shared" si="14"/>
        <v>1</v>
      </c>
      <c r="BN20" s="134">
        <f t="shared" si="14"/>
        <v>0</v>
      </c>
      <c r="BO20" s="134">
        <f t="shared" si="14"/>
        <v>0</v>
      </c>
      <c r="BP20" s="134">
        <f t="shared" si="14"/>
        <v>0</v>
      </c>
      <c r="BQ20" s="134">
        <f t="shared" si="14"/>
        <v>0</v>
      </c>
      <c r="BR20" s="134">
        <f t="shared" si="14"/>
        <v>0</v>
      </c>
      <c r="BS20" s="134">
        <f t="shared" si="14"/>
        <v>1</v>
      </c>
      <c r="BT20" s="134">
        <f t="shared" si="14"/>
        <v>0</v>
      </c>
      <c r="BU20" s="134">
        <f t="shared" si="14"/>
        <v>0.48</v>
      </c>
      <c r="BV20" s="134">
        <f t="shared" si="14"/>
        <v>1</v>
      </c>
      <c r="BW20" s="134">
        <f t="shared" si="15"/>
        <v>0</v>
      </c>
      <c r="BX20" s="134">
        <f t="shared" si="15"/>
        <v>0</v>
      </c>
      <c r="BY20" s="134">
        <f t="shared" si="15"/>
        <v>0.61</v>
      </c>
      <c r="BZ20" s="90"/>
      <c r="CA20" s="7"/>
      <c r="CB20" s="5"/>
    </row>
    <row r="21" spans="1:80" s="138" customFormat="1" ht="14.7" customHeight="1" x14ac:dyDescent="0.3">
      <c r="A21" s="9"/>
      <c r="B21" s="267"/>
      <c r="C21" s="361" t="s">
        <v>194</v>
      </c>
      <c r="D21" s="341"/>
      <c r="E21" s="341"/>
      <c r="F21" s="342"/>
      <c r="G21" s="345" t="s">
        <v>104</v>
      </c>
      <c r="H21" s="343"/>
      <c r="I21" s="343"/>
      <c r="J21" s="343"/>
      <c r="K21" s="343"/>
      <c r="L21" s="343"/>
      <c r="M21" s="344"/>
      <c r="N21" s="140" t="s">
        <v>105</v>
      </c>
      <c r="O21" s="345" t="s">
        <v>106</v>
      </c>
      <c r="P21" s="343"/>
      <c r="Q21" s="344"/>
      <c r="R21" s="345" t="s">
        <v>107</v>
      </c>
      <c r="S21" s="343"/>
      <c r="T21" s="343"/>
      <c r="U21" s="343"/>
      <c r="V21" s="343"/>
      <c r="W21" s="343"/>
      <c r="X21" s="343"/>
      <c r="Y21" s="344"/>
      <c r="Z21" s="345" t="s">
        <v>108</v>
      </c>
      <c r="AA21" s="343"/>
      <c r="AB21" s="343"/>
      <c r="AC21" s="345" t="s">
        <v>109</v>
      </c>
      <c r="AD21" s="343"/>
      <c r="AE21" s="344"/>
      <c r="AF21" s="141" t="s">
        <v>11</v>
      </c>
      <c r="AG21" s="327" t="s">
        <v>104</v>
      </c>
      <c r="AH21" s="328"/>
      <c r="AI21" s="328"/>
      <c r="AJ21" s="328"/>
      <c r="AK21" s="328"/>
      <c r="AL21" s="328"/>
      <c r="AM21" s="329"/>
      <c r="AN21" s="142"/>
      <c r="AO21" s="327" t="s">
        <v>106</v>
      </c>
      <c r="AP21" s="328"/>
      <c r="AQ21" s="329"/>
      <c r="AR21" s="327" t="s">
        <v>107</v>
      </c>
      <c r="AS21" s="328"/>
      <c r="AT21" s="328"/>
      <c r="AU21" s="328"/>
      <c r="AV21" s="328"/>
      <c r="AW21" s="328"/>
      <c r="AX21" s="328"/>
      <c r="AY21" s="329"/>
      <c r="AZ21" s="327" t="s">
        <v>110</v>
      </c>
      <c r="BA21" s="329"/>
      <c r="BB21" s="143" t="s">
        <v>13</v>
      </c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Y21" s="7"/>
      <c r="BZ21" s="90"/>
    </row>
    <row r="22" spans="1:80" s="16" customFormat="1" ht="43.2" customHeight="1" x14ac:dyDescent="0.3">
      <c r="A22" s="17" t="s">
        <v>19</v>
      </c>
      <c r="B22" s="18" t="s">
        <v>20</v>
      </c>
      <c r="C22" s="268" t="s">
        <v>113</v>
      </c>
      <c r="D22" s="147" t="s">
        <v>114</v>
      </c>
      <c r="E22" s="147" t="s">
        <v>115</v>
      </c>
      <c r="F22" s="148" t="s">
        <v>116</v>
      </c>
      <c r="H22" s="149" t="s">
        <v>26</v>
      </c>
      <c r="I22" s="149" t="s">
        <v>27</v>
      </c>
      <c r="J22" s="149" t="s">
        <v>28</v>
      </c>
      <c r="K22" s="149" t="s">
        <v>29</v>
      </c>
      <c r="L22" s="149" t="s">
        <v>30</v>
      </c>
      <c r="M22" s="150" t="s">
        <v>31</v>
      </c>
      <c r="N22" s="151" t="s">
        <v>32</v>
      </c>
      <c r="O22" s="152" t="s">
        <v>33</v>
      </c>
      <c r="P22" s="149" t="s">
        <v>34</v>
      </c>
      <c r="Q22" s="150" t="s">
        <v>35</v>
      </c>
      <c r="R22" s="152" t="s">
        <v>36</v>
      </c>
      <c r="S22" s="149" t="s">
        <v>37</v>
      </c>
      <c r="T22" s="149" t="s">
        <v>38</v>
      </c>
      <c r="U22" s="149" t="s">
        <v>39</v>
      </c>
      <c r="V22" s="149" t="s">
        <v>40</v>
      </c>
      <c r="W22" s="149" t="s">
        <v>41</v>
      </c>
      <c r="X22" s="149" t="s">
        <v>42</v>
      </c>
      <c r="Y22" s="150" t="s">
        <v>43</v>
      </c>
      <c r="Z22" s="153" t="s">
        <v>44</v>
      </c>
      <c r="AA22" s="149" t="s">
        <v>45</v>
      </c>
      <c r="AB22" s="154" t="s">
        <v>46</v>
      </c>
      <c r="AC22" s="152" t="s">
        <v>47</v>
      </c>
      <c r="AD22" s="149" t="s">
        <v>48</v>
      </c>
      <c r="AE22" s="150" t="s">
        <v>49</v>
      </c>
      <c r="AF22" s="154" t="s">
        <v>20</v>
      </c>
      <c r="AG22" s="155" t="s">
        <v>25</v>
      </c>
      <c r="AH22" s="154" t="s">
        <v>26</v>
      </c>
      <c r="AI22" s="154" t="s">
        <v>27</v>
      </c>
      <c r="AJ22" s="154" t="s">
        <v>28</v>
      </c>
      <c r="AK22" s="154" t="s">
        <v>29</v>
      </c>
      <c r="AL22" s="154" t="s">
        <v>30</v>
      </c>
      <c r="AM22" s="156" t="s">
        <v>31</v>
      </c>
      <c r="AN22" s="154" t="s">
        <v>32</v>
      </c>
      <c r="AO22" s="155" t="s">
        <v>33</v>
      </c>
      <c r="AP22" s="154" t="s">
        <v>34</v>
      </c>
      <c r="AQ22" s="156" t="s">
        <v>35</v>
      </c>
      <c r="AR22" s="155" t="s">
        <v>36</v>
      </c>
      <c r="AS22" s="154" t="s">
        <v>37</v>
      </c>
      <c r="AT22" s="154" t="s">
        <v>38</v>
      </c>
      <c r="AU22" s="154" t="s">
        <v>39</v>
      </c>
      <c r="AV22" s="154" t="s">
        <v>40</v>
      </c>
      <c r="AW22" s="154" t="s">
        <v>41</v>
      </c>
      <c r="AX22" s="154" t="s">
        <v>42</v>
      </c>
      <c r="AY22" s="156" t="s">
        <v>43</v>
      </c>
      <c r="AZ22" s="155" t="s">
        <v>44</v>
      </c>
      <c r="BA22" s="156" t="s">
        <v>45</v>
      </c>
      <c r="BB22" s="156" t="s">
        <v>46</v>
      </c>
      <c r="BD22" s="32" t="s">
        <v>50</v>
      </c>
      <c r="BE22" s="33" t="s">
        <v>51</v>
      </c>
      <c r="BF22" s="34" t="str">
        <f>F22</f>
        <v>P gemeten (mgP/l)</v>
      </c>
      <c r="BG22" s="34" t="str">
        <f t="shared" ref="BG22:BY22" si="16">H22</f>
        <v>Bemesting
historisch</v>
      </c>
      <c r="BH22" s="34" t="str">
        <f t="shared" si="16"/>
        <v>Depositie</v>
      </c>
      <c r="BI22" s="34" t="str">
        <f t="shared" si="16"/>
        <v>Infiltratie</v>
      </c>
      <c r="BJ22" s="34" t="str">
        <f t="shared" si="16"/>
        <v>Kwel</v>
      </c>
      <c r="BK22" s="34" t="str">
        <f t="shared" si="16"/>
        <v>Mineralisatie
en uitloging</v>
      </c>
      <c r="BL22" s="34" t="str">
        <f t="shared" si="16"/>
        <v>Natuur-
gronden</v>
      </c>
      <c r="BM22" s="34" t="str">
        <f t="shared" si="16"/>
        <v>Directe kwel</v>
      </c>
      <c r="BN22" s="34" t="str">
        <f t="shared" si="16"/>
        <v>Erfaf-
spoeling</v>
      </c>
      <c r="BO22" s="34" t="str">
        <f t="shared" si="16"/>
        <v>Glas-
tuinbouw</v>
      </c>
      <c r="BP22" s="34" t="str">
        <f t="shared" si="16"/>
        <v>Mee-
mesten</v>
      </c>
      <c r="BQ22" s="34" t="str">
        <f t="shared" si="16"/>
        <v>RWZI</v>
      </c>
      <c r="BR22" s="34" t="str">
        <f t="shared" si="16"/>
        <v>Industrie</v>
      </c>
      <c r="BS22" s="34" t="str">
        <f t="shared" si="16"/>
        <v>Depositie
open water</v>
      </c>
      <c r="BT22" s="34" t="str">
        <f t="shared" si="16"/>
        <v>Overstort</v>
      </c>
      <c r="BU22" s="34" t="str">
        <f t="shared" si="16"/>
        <v>Regen
waterriolen</v>
      </c>
      <c r="BV22" s="34" t="str">
        <f t="shared" si="16"/>
        <v>Water-
vogels</v>
      </c>
      <c r="BW22" s="34" t="str">
        <f t="shared" si="16"/>
        <v>Binnen-
vaart</v>
      </c>
      <c r="BX22" s="34" t="str">
        <f t="shared" si="16"/>
        <v>Overige</v>
      </c>
      <c r="BY22" s="34" t="str">
        <f t="shared" si="16"/>
        <v>Inlaat Rijkswater</v>
      </c>
      <c r="BZ22" s="35" t="s">
        <v>52</v>
      </c>
      <c r="CA22" s="359" t="s">
        <v>176</v>
      </c>
      <c r="CB22" s="360"/>
    </row>
    <row r="23" spans="1:80" x14ac:dyDescent="0.3">
      <c r="A23" s="57">
        <v>37101</v>
      </c>
      <c r="B23" s="188" t="s">
        <v>75</v>
      </c>
      <c r="C23" s="58">
        <f t="shared" ref="C23:C36" si="17">(SUMPRODUCT(G23:AA23,$G$37:$AA$37)+SUMPRODUCT(AG23:BA23,$AG$37:$BA$37))/AC23</f>
        <v>0.89628036243072118</v>
      </c>
      <c r="D23" s="171">
        <f>C23*F23</f>
        <v>0.1332470138813672</v>
      </c>
      <c r="E23" s="171">
        <v>0.15</v>
      </c>
      <c r="F23" s="60">
        <v>0.14866666666666664</v>
      </c>
      <c r="G23" s="61">
        <v>86.414600587030179</v>
      </c>
      <c r="H23" s="8">
        <v>11.84751976315501</v>
      </c>
      <c r="I23" s="8">
        <v>0</v>
      </c>
      <c r="J23" s="8">
        <v>0.25482848531501151</v>
      </c>
      <c r="K23" s="8">
        <v>152.40602100213599</v>
      </c>
      <c r="L23" s="8">
        <v>42.158395030533917</v>
      </c>
      <c r="M23" s="95">
        <v>432.7850379790662</v>
      </c>
      <c r="N23" s="96">
        <v>1500.008382880254</v>
      </c>
      <c r="O23" s="71">
        <v>92.129803231285706</v>
      </c>
      <c r="P23" s="8">
        <v>0</v>
      </c>
      <c r="Q23" s="95">
        <v>23.435756714035719</v>
      </c>
      <c r="R23" s="71">
        <v>0</v>
      </c>
      <c r="S23" s="8">
        <v>0</v>
      </c>
      <c r="T23" s="8">
        <v>0</v>
      </c>
      <c r="U23" s="8">
        <v>1.5903813969964291</v>
      </c>
      <c r="V23" s="8">
        <v>37.335179301189292</v>
      </c>
      <c r="W23" s="8">
        <v>7.2281387765049994</v>
      </c>
      <c r="X23" s="8">
        <v>0</v>
      </c>
      <c r="Y23" s="95">
        <v>19.28889255746143</v>
      </c>
      <c r="Z23" s="97">
        <v>0</v>
      </c>
      <c r="AA23" s="8"/>
      <c r="AB23" s="66">
        <f>SUM(AG23:BA23)</f>
        <v>0</v>
      </c>
      <c r="AC23" s="64">
        <f t="shared" ref="AC23:AC36" si="18">SUM(G23:AB23)</f>
        <v>2406.8829377049638</v>
      </c>
      <c r="AD23" s="61">
        <v>751.27051235545423</v>
      </c>
      <c r="AE23" s="62">
        <f>AC23-AD23</f>
        <v>1655.6124253495095</v>
      </c>
      <c r="AF23" s="172" t="s">
        <v>76</v>
      </c>
      <c r="AG23" s="68"/>
      <c r="AH23" s="69"/>
      <c r="AI23" s="69"/>
      <c r="AJ23" s="69"/>
      <c r="AK23" s="69"/>
      <c r="AL23" s="69"/>
      <c r="AM23" s="66"/>
      <c r="AN23" s="69"/>
      <c r="AO23" s="68"/>
      <c r="AP23" s="69"/>
      <c r="AQ23" s="66"/>
      <c r="AR23" s="68"/>
      <c r="AS23" s="69"/>
      <c r="AT23" s="69"/>
      <c r="AU23" s="69"/>
      <c r="AV23" s="69"/>
      <c r="AW23" s="69"/>
      <c r="AX23" s="69"/>
      <c r="AY23" s="66"/>
      <c r="AZ23" s="68"/>
      <c r="BA23" s="66"/>
      <c r="BB23" s="102">
        <f>SUM(AG23:BA23)</f>
        <v>0</v>
      </c>
      <c r="BC23" s="10"/>
      <c r="BD23" s="71">
        <f t="shared" ref="BD23:BE36" si="19">A23</f>
        <v>37101</v>
      </c>
      <c r="BE23" s="8" t="str">
        <f t="shared" si="19"/>
        <v>Tochten ABC1</v>
      </c>
      <c r="BF23" s="7">
        <f>(G23+AG23)/$AC23</f>
        <v>3.5903117361174672E-2</v>
      </c>
      <c r="BG23" s="7">
        <f t="shared" ref="BG23:BV36" si="20">(H23+AH23)/$AC23</f>
        <v>4.9223498066972796E-3</v>
      </c>
      <c r="BH23" s="7">
        <f t="shared" si="20"/>
        <v>0</v>
      </c>
      <c r="BI23" s="7">
        <f t="shared" si="20"/>
        <v>1.0587489791173568E-4</v>
      </c>
      <c r="BJ23" s="7">
        <f t="shared" si="20"/>
        <v>6.3320911297605434E-2</v>
      </c>
      <c r="BK23" s="7">
        <f t="shared" si="20"/>
        <v>1.7515764630719112E-2</v>
      </c>
      <c r="BL23" s="7">
        <f t="shared" si="20"/>
        <v>0.1798114196578833</v>
      </c>
      <c r="BM23" s="7">
        <f t="shared" si="20"/>
        <v>0.62321617698223319</v>
      </c>
      <c r="BN23" s="7">
        <f t="shared" si="20"/>
        <v>3.8277641919359104E-2</v>
      </c>
      <c r="BO23" s="7">
        <f t="shared" si="20"/>
        <v>0</v>
      </c>
      <c r="BP23" s="7">
        <f t="shared" si="20"/>
        <v>9.7369740534130125E-3</v>
      </c>
      <c r="BQ23" s="7">
        <f t="shared" si="20"/>
        <v>0</v>
      </c>
      <c r="BR23" s="7">
        <f t="shared" si="20"/>
        <v>0</v>
      </c>
      <c r="BS23" s="7">
        <f t="shared" si="20"/>
        <v>0</v>
      </c>
      <c r="BT23" s="7">
        <f t="shared" si="20"/>
        <v>6.607639167166585E-4</v>
      </c>
      <c r="BU23" s="7">
        <f t="shared" si="20"/>
        <v>1.5511838451432758E-2</v>
      </c>
      <c r="BV23" s="7">
        <f t="shared" si="20"/>
        <v>3.0031118935087264E-3</v>
      </c>
      <c r="BW23" s="7">
        <f t="shared" ref="BW23:BY36" si="21">(X23+AX23)/$AC23</f>
        <v>0</v>
      </c>
      <c r="BX23" s="7">
        <f t="shared" si="21"/>
        <v>8.0140551313450988E-3</v>
      </c>
      <c r="BY23" s="7">
        <f t="shared" si="21"/>
        <v>0</v>
      </c>
      <c r="BZ23" s="72">
        <f t="shared" si="11"/>
        <v>1</v>
      </c>
      <c r="CA23" s="261">
        <f>SUMPRODUCT(BF23:BY23,$BF$37:$BY$37)</f>
        <v>0.89628036243072129</v>
      </c>
      <c r="CB23" s="74">
        <f t="shared" ref="CB23:CB36" si="22">C23-CA23</f>
        <v>0</v>
      </c>
    </row>
    <row r="24" spans="1:80" x14ac:dyDescent="0.3">
      <c r="A24" s="91">
        <v>37102</v>
      </c>
      <c r="B24" t="s">
        <v>77</v>
      </c>
      <c r="C24" s="88">
        <f t="shared" si="17"/>
        <v>0.80221218433600083</v>
      </c>
      <c r="D24" s="178">
        <f t="shared" ref="D24:D36" si="23">C24*F24</f>
        <v>8.5060372019279767E-2</v>
      </c>
      <c r="E24" s="178">
        <v>0.15</v>
      </c>
      <c r="F24" s="94">
        <v>0.10603226138940423</v>
      </c>
      <c r="G24" s="71">
        <v>916.01202642855617</v>
      </c>
      <c r="H24" s="8">
        <v>37.363573037146473</v>
      </c>
      <c r="I24" s="8">
        <v>0</v>
      </c>
      <c r="J24" s="8">
        <v>1.3949032312254579</v>
      </c>
      <c r="K24" s="8">
        <v>787.58683069910569</v>
      </c>
      <c r="L24" s="8">
        <v>440.32368260057342</v>
      </c>
      <c r="M24" s="95">
        <v>81.897407302437898</v>
      </c>
      <c r="N24" s="96">
        <v>2730.5238516536142</v>
      </c>
      <c r="O24" s="71">
        <v>187.85331866978569</v>
      </c>
      <c r="P24" s="8">
        <v>0</v>
      </c>
      <c r="Q24" s="95">
        <v>50.994067447357139</v>
      </c>
      <c r="R24" s="71">
        <v>0</v>
      </c>
      <c r="S24" s="8">
        <v>0</v>
      </c>
      <c r="T24" s="8">
        <v>0</v>
      </c>
      <c r="U24" s="8">
        <v>3.5986906141171429</v>
      </c>
      <c r="V24" s="8">
        <v>71.891049685796432</v>
      </c>
      <c r="W24" s="8">
        <v>14.926468460340001</v>
      </c>
      <c r="X24" s="8">
        <v>0</v>
      </c>
      <c r="Y24" s="95">
        <v>38.837669057565712</v>
      </c>
      <c r="Z24" s="97">
        <v>0</v>
      </c>
      <c r="AA24" s="8"/>
      <c r="AB24" s="98">
        <f t="shared" ref="AB24:AB36" si="24">SUM(AG24:BA24)</f>
        <v>1655.6124253495093</v>
      </c>
      <c r="AC24" s="71">
        <f t="shared" si="18"/>
        <v>7018.8159642371311</v>
      </c>
      <c r="AD24" s="8">
        <v>2189.0891584795258</v>
      </c>
      <c r="AE24" s="95">
        <f t="shared" ref="AE24:AE36" si="25">AC24-AD24</f>
        <v>4829.7268057576057</v>
      </c>
      <c r="AF24" s="172" t="s">
        <v>78</v>
      </c>
      <c r="AG24" s="100">
        <v>43.20730029351509</v>
      </c>
      <c r="AH24" s="101">
        <v>5.923759881577503</v>
      </c>
      <c r="AI24" s="101">
        <v>0</v>
      </c>
      <c r="AJ24" s="101">
        <v>0.12741424265750581</v>
      </c>
      <c r="AK24" s="101">
        <v>76.203010501067979</v>
      </c>
      <c r="AL24" s="101">
        <v>21.079197515266959</v>
      </c>
      <c r="AM24" s="98">
        <v>216.3925189895331</v>
      </c>
      <c r="AN24" s="101">
        <v>1200.0067063042029</v>
      </c>
      <c r="AO24" s="100">
        <v>46.06490161564286</v>
      </c>
      <c r="AP24" s="101">
        <v>0</v>
      </c>
      <c r="AQ24" s="98">
        <v>11.71787835701786</v>
      </c>
      <c r="AR24" s="100">
        <v>0</v>
      </c>
      <c r="AS24" s="101">
        <v>0</v>
      </c>
      <c r="AT24" s="101">
        <v>0</v>
      </c>
      <c r="AU24" s="101">
        <v>0.79519069849821433</v>
      </c>
      <c r="AV24" s="101">
        <v>18.667589650594639</v>
      </c>
      <c r="AW24" s="101">
        <v>5.7825110212039998</v>
      </c>
      <c r="AX24" s="101">
        <v>0</v>
      </c>
      <c r="AY24" s="98">
        <v>9.6444462787307152</v>
      </c>
      <c r="AZ24" s="100">
        <v>0</v>
      </c>
      <c r="BA24" s="98"/>
      <c r="BB24" s="102">
        <f t="shared" ref="BB24:BB36" si="26">SUM(AG24:BA24)</f>
        <v>1655.6124253495093</v>
      </c>
      <c r="BC24" s="10"/>
      <c r="BD24" s="71">
        <f t="shared" si="19"/>
        <v>37102</v>
      </c>
      <c r="BE24" s="8" t="str">
        <f t="shared" si="19"/>
        <v>Tochten ABC2</v>
      </c>
      <c r="BF24" s="7">
        <f t="shared" ref="BF24:BF36" si="27">(G24+AG24)/$AC24</f>
        <v>0.13666398030801311</v>
      </c>
      <c r="BG24" s="7">
        <f t="shared" si="20"/>
        <v>6.1673269593169678E-3</v>
      </c>
      <c r="BH24" s="7">
        <f t="shared" si="20"/>
        <v>0</v>
      </c>
      <c r="BI24" s="7">
        <f t="shared" si="20"/>
        <v>2.1689092314709565E-4</v>
      </c>
      <c r="BJ24" s="7">
        <f t="shared" si="20"/>
        <v>0.12306774327770229</v>
      </c>
      <c r="BK24" s="7">
        <f t="shared" si="20"/>
        <v>6.5737993768011538E-2</v>
      </c>
      <c r="BL24" s="7">
        <f t="shared" si="20"/>
        <v>4.2498610565064432E-2</v>
      </c>
      <c r="BM24" s="7">
        <f t="shared" si="20"/>
        <v>0.55999909072769416</v>
      </c>
      <c r="BN24" s="7">
        <f t="shared" si="20"/>
        <v>3.3327304986668492E-2</v>
      </c>
      <c r="BO24" s="7">
        <f t="shared" si="20"/>
        <v>0</v>
      </c>
      <c r="BP24" s="7">
        <f t="shared" si="20"/>
        <v>8.9348326162005456E-3</v>
      </c>
      <c r="BQ24" s="7">
        <f t="shared" si="20"/>
        <v>0</v>
      </c>
      <c r="BR24" s="7">
        <f t="shared" si="20"/>
        <v>0</v>
      </c>
      <c r="BS24" s="7">
        <f t="shared" si="20"/>
        <v>0</v>
      </c>
      <c r="BT24" s="7">
        <f t="shared" si="20"/>
        <v>6.2601460631015761E-4</v>
      </c>
      <c r="BU24" s="7">
        <f t="shared" si="20"/>
        <v>1.2902267248181625E-2</v>
      </c>
      <c r="BV24" s="7">
        <f t="shared" si="20"/>
        <v>2.9504947254725233E-3</v>
      </c>
      <c r="BW24" s="7">
        <f t="shared" si="21"/>
        <v>0</v>
      </c>
      <c r="BX24" s="7">
        <f t="shared" si="21"/>
        <v>6.9074492882170773E-3</v>
      </c>
      <c r="BY24" s="7">
        <f t="shared" si="21"/>
        <v>0</v>
      </c>
      <c r="BZ24" s="72">
        <f t="shared" si="11"/>
        <v>0.99999999999999989</v>
      </c>
      <c r="CA24" s="261">
        <f t="shared" ref="CA24:CA32" si="28">SUMPRODUCT(BF24:BY24,$BF$37:$BY$37)</f>
        <v>0.80221218433600094</v>
      </c>
      <c r="CB24" s="74">
        <f t="shared" si="22"/>
        <v>0</v>
      </c>
    </row>
    <row r="25" spans="1:80" x14ac:dyDescent="0.3">
      <c r="A25" s="91">
        <v>37103</v>
      </c>
      <c r="B25" t="s">
        <v>79</v>
      </c>
      <c r="C25" s="88">
        <f t="shared" si="17"/>
        <v>0.7084041556177979</v>
      </c>
      <c r="D25" s="178">
        <f t="shared" si="23"/>
        <v>7.4972773136216947E-2</v>
      </c>
      <c r="E25" s="178">
        <v>0.3</v>
      </c>
      <c r="F25" s="94">
        <v>0.10583333333333333</v>
      </c>
      <c r="G25" s="71">
        <v>155.7173004975196</v>
      </c>
      <c r="H25" s="8">
        <v>7.6818383349547004</v>
      </c>
      <c r="I25" s="8">
        <v>0</v>
      </c>
      <c r="J25" s="8">
        <v>0.13591757861986609</v>
      </c>
      <c r="K25" s="8">
        <v>330.31108242679318</v>
      </c>
      <c r="L25" s="8">
        <v>50.939182998957747</v>
      </c>
      <c r="M25" s="95">
        <v>637.3164778455963</v>
      </c>
      <c r="N25" s="96">
        <v>232.2984394925823</v>
      </c>
      <c r="O25" s="71">
        <v>52.141790764357147</v>
      </c>
      <c r="P25" s="8">
        <v>2.8241265740700001</v>
      </c>
      <c r="Q25" s="95">
        <v>18.04794417372857</v>
      </c>
      <c r="R25" s="71">
        <v>0</v>
      </c>
      <c r="S25" s="8">
        <v>0</v>
      </c>
      <c r="T25" s="8">
        <v>0</v>
      </c>
      <c r="U25" s="8">
        <v>0</v>
      </c>
      <c r="V25" s="8">
        <v>1740.846462607286</v>
      </c>
      <c r="W25" s="8">
        <v>494.57605772105001</v>
      </c>
      <c r="X25" s="8">
        <v>5.2587826874642856</v>
      </c>
      <c r="Y25" s="95">
        <v>179.30626638975221</v>
      </c>
      <c r="Z25" s="97">
        <v>56.810552995391731</v>
      </c>
      <c r="AA25" s="8"/>
      <c r="AB25" s="98">
        <f t="shared" si="24"/>
        <v>0</v>
      </c>
      <c r="AC25" s="71">
        <f t="shared" si="18"/>
        <v>3964.2122230881237</v>
      </c>
      <c r="AD25" s="8">
        <v>1745.4229616751149</v>
      </c>
      <c r="AE25" s="95">
        <f t="shared" si="25"/>
        <v>2218.7892614130087</v>
      </c>
      <c r="AF25" s="172" t="s">
        <v>80</v>
      </c>
      <c r="AG25" s="100"/>
      <c r="AH25" s="101"/>
      <c r="AI25" s="101"/>
      <c r="AJ25" s="101"/>
      <c r="AK25" s="101"/>
      <c r="AL25" s="101"/>
      <c r="AM25" s="98"/>
      <c r="AN25" s="101"/>
      <c r="AO25" s="100"/>
      <c r="AP25" s="101"/>
      <c r="AQ25" s="98"/>
      <c r="AR25" s="100"/>
      <c r="AS25" s="101"/>
      <c r="AT25" s="101"/>
      <c r="AU25" s="101"/>
      <c r="AV25" s="101"/>
      <c r="AW25" s="101"/>
      <c r="AX25" s="101"/>
      <c r="AY25" s="98"/>
      <c r="AZ25" s="100"/>
      <c r="BA25" s="98"/>
      <c r="BB25" s="102">
        <f t="shared" si="26"/>
        <v>0</v>
      </c>
      <c r="BC25" s="10"/>
      <c r="BD25" s="71">
        <f t="shared" si="19"/>
        <v>37103</v>
      </c>
      <c r="BE25" s="8" t="str">
        <f t="shared" si="19"/>
        <v>Tochten DE Almere</v>
      </c>
      <c r="BF25" s="7">
        <f t="shared" si="27"/>
        <v>3.9280767964590887E-2</v>
      </c>
      <c r="BG25" s="7">
        <f t="shared" si="20"/>
        <v>1.9377969449300935E-3</v>
      </c>
      <c r="BH25" s="7">
        <f t="shared" si="20"/>
        <v>0</v>
      </c>
      <c r="BI25" s="7">
        <f t="shared" si="20"/>
        <v>3.4286150935175264E-5</v>
      </c>
      <c r="BJ25" s="7">
        <f t="shared" si="20"/>
        <v>8.3323259159289065E-2</v>
      </c>
      <c r="BK25" s="7">
        <f t="shared" si="20"/>
        <v>1.2849761852375324E-2</v>
      </c>
      <c r="BL25" s="7">
        <f t="shared" si="20"/>
        <v>0.16076749729335288</v>
      </c>
      <c r="BM25" s="7">
        <f t="shared" si="20"/>
        <v>5.8598890881684858E-2</v>
      </c>
      <c r="BN25" s="7">
        <f t="shared" si="20"/>
        <v>1.315312799367201E-2</v>
      </c>
      <c r="BO25" s="7">
        <f t="shared" si="20"/>
        <v>7.1240549575572515E-4</v>
      </c>
      <c r="BP25" s="7">
        <f t="shared" si="20"/>
        <v>4.5527189661075237E-3</v>
      </c>
      <c r="BQ25" s="7">
        <f t="shared" si="20"/>
        <v>0</v>
      </c>
      <c r="BR25" s="7">
        <f t="shared" si="20"/>
        <v>0</v>
      </c>
      <c r="BS25" s="7">
        <f t="shared" si="20"/>
        <v>0</v>
      </c>
      <c r="BT25" s="7">
        <f t="shared" si="20"/>
        <v>0</v>
      </c>
      <c r="BU25" s="7">
        <f t="shared" si="20"/>
        <v>0.43914058194673683</v>
      </c>
      <c r="BV25" s="7">
        <f t="shared" si="20"/>
        <v>0.1247602373153915</v>
      </c>
      <c r="BW25" s="7">
        <f t="shared" si="21"/>
        <v>1.3265643692929464E-3</v>
      </c>
      <c r="BX25" s="7">
        <f t="shared" si="21"/>
        <v>4.5231248051112796E-2</v>
      </c>
      <c r="BY25" s="7">
        <f t="shared" si="21"/>
        <v>1.4330855614772379E-2</v>
      </c>
      <c r="BZ25" s="72">
        <f t="shared" si="11"/>
        <v>1</v>
      </c>
      <c r="CA25" s="261">
        <f t="shared" si="28"/>
        <v>0.70840415561779813</v>
      </c>
      <c r="CB25" s="74">
        <f t="shared" si="22"/>
        <v>0</v>
      </c>
    </row>
    <row r="26" spans="1:80" x14ac:dyDescent="0.3">
      <c r="A26" s="91">
        <v>37104</v>
      </c>
      <c r="B26" t="s">
        <v>81</v>
      </c>
      <c r="C26" s="88">
        <f t="shared" si="17"/>
        <v>0.64452165294193797</v>
      </c>
      <c r="D26" s="178">
        <f t="shared" si="23"/>
        <v>0.18494702288705325</v>
      </c>
      <c r="E26" s="178">
        <v>0.22</v>
      </c>
      <c r="F26" s="94">
        <v>0.28695238095238096</v>
      </c>
      <c r="G26" s="71">
        <v>476.15931501349002</v>
      </c>
      <c r="H26" s="8">
        <v>18.635024262099179</v>
      </c>
      <c r="I26" s="8">
        <v>0</v>
      </c>
      <c r="J26" s="8">
        <v>0.7251228703461261</v>
      </c>
      <c r="K26" s="8">
        <v>188.90215775121021</v>
      </c>
      <c r="L26" s="8">
        <v>291.36397155412322</v>
      </c>
      <c r="M26" s="95">
        <v>148.80789775958689</v>
      </c>
      <c r="N26" s="96">
        <v>832.64344535156749</v>
      </c>
      <c r="O26" s="71">
        <v>222.28868694278569</v>
      </c>
      <c r="P26" s="8">
        <v>2.0337841342157139</v>
      </c>
      <c r="Q26" s="95">
        <v>33.61982854770001</v>
      </c>
      <c r="R26" s="71">
        <v>0</v>
      </c>
      <c r="S26" s="8">
        <v>0</v>
      </c>
      <c r="T26" s="8">
        <v>0</v>
      </c>
      <c r="U26" s="8">
        <v>0</v>
      </c>
      <c r="V26" s="8">
        <v>631.31330373557148</v>
      </c>
      <c r="W26" s="8">
        <v>15.72535603395</v>
      </c>
      <c r="X26" s="8">
        <v>5.4539825840357148</v>
      </c>
      <c r="Y26" s="95">
        <v>13.466290169462139</v>
      </c>
      <c r="Z26" s="97">
        <v>0</v>
      </c>
      <c r="AA26" s="8"/>
      <c r="AB26" s="98">
        <f t="shared" si="24"/>
        <v>0</v>
      </c>
      <c r="AC26" s="71">
        <f t="shared" si="18"/>
        <v>2881.1381667101441</v>
      </c>
      <c r="AD26" s="8">
        <v>1184.4222481642059</v>
      </c>
      <c r="AE26" s="95">
        <f t="shared" si="25"/>
        <v>1696.7159185459382</v>
      </c>
      <c r="AF26" s="172" t="s">
        <v>82</v>
      </c>
      <c r="AG26" s="100"/>
      <c r="AH26" s="101"/>
      <c r="AI26" s="101"/>
      <c r="AJ26" s="101"/>
      <c r="AK26" s="101"/>
      <c r="AL26" s="101"/>
      <c r="AM26" s="98"/>
      <c r="AN26" s="101"/>
      <c r="AO26" s="100"/>
      <c r="AP26" s="101"/>
      <c r="AQ26" s="98"/>
      <c r="AR26" s="100"/>
      <c r="AS26" s="101"/>
      <c r="AT26" s="101"/>
      <c r="AU26" s="101"/>
      <c r="AV26" s="101"/>
      <c r="AW26" s="101"/>
      <c r="AX26" s="101"/>
      <c r="AY26" s="98"/>
      <c r="AZ26" s="100"/>
      <c r="BA26" s="98"/>
      <c r="BB26" s="102">
        <f t="shared" si="26"/>
        <v>0</v>
      </c>
      <c r="BC26" s="10"/>
      <c r="BD26" s="71">
        <f t="shared" si="19"/>
        <v>37104</v>
      </c>
      <c r="BE26" s="8" t="str">
        <f t="shared" si="19"/>
        <v>Tochten DE Zuidlob</v>
      </c>
      <c r="BF26" s="7">
        <f t="shared" si="27"/>
        <v>0.16526778219636623</v>
      </c>
      <c r="BG26" s="7">
        <f t="shared" si="20"/>
        <v>6.4679384270480041E-3</v>
      </c>
      <c r="BH26" s="7">
        <f t="shared" si="20"/>
        <v>0</v>
      </c>
      <c r="BI26" s="7">
        <f t="shared" si="20"/>
        <v>2.5167931157363228E-4</v>
      </c>
      <c r="BJ26" s="7">
        <f t="shared" si="20"/>
        <v>6.5565115874644087E-2</v>
      </c>
      <c r="BK26" s="7">
        <f t="shared" si="20"/>
        <v>0.10112808018742817</v>
      </c>
      <c r="BL26" s="7">
        <f t="shared" si="20"/>
        <v>5.1648997427119106E-2</v>
      </c>
      <c r="BM26" s="7">
        <f t="shared" si="20"/>
        <v>0.28899809629828671</v>
      </c>
      <c r="BN26" s="7">
        <f t="shared" si="20"/>
        <v>7.7153081206309593E-2</v>
      </c>
      <c r="BO26" s="7">
        <f t="shared" si="20"/>
        <v>7.0589607874932641E-4</v>
      </c>
      <c r="BP26" s="7">
        <f t="shared" si="20"/>
        <v>1.1668940051593964E-2</v>
      </c>
      <c r="BQ26" s="7">
        <f t="shared" si="20"/>
        <v>0</v>
      </c>
      <c r="BR26" s="7">
        <f t="shared" si="20"/>
        <v>0</v>
      </c>
      <c r="BS26" s="7">
        <f t="shared" si="20"/>
        <v>0</v>
      </c>
      <c r="BT26" s="7">
        <f t="shared" si="20"/>
        <v>0</v>
      </c>
      <c r="BU26" s="7">
        <f t="shared" si="20"/>
        <v>0.21911941295631884</v>
      </c>
      <c r="BV26" s="7">
        <f t="shared" si="20"/>
        <v>5.4580360690949271E-3</v>
      </c>
      <c r="BW26" s="7">
        <f t="shared" si="21"/>
        <v>1.8929958469376005E-3</v>
      </c>
      <c r="BX26" s="7">
        <f t="shared" si="21"/>
        <v>4.6739480685297208E-3</v>
      </c>
      <c r="BY26" s="7">
        <f t="shared" si="21"/>
        <v>0</v>
      </c>
      <c r="BZ26" s="72">
        <f t="shared" si="11"/>
        <v>0.99999999999999989</v>
      </c>
      <c r="CA26" s="261">
        <f t="shared" si="28"/>
        <v>0.64452165294193786</v>
      </c>
      <c r="CB26" s="74">
        <f t="shared" si="22"/>
        <v>0</v>
      </c>
    </row>
    <row r="27" spans="1:80" x14ac:dyDescent="0.3">
      <c r="A27" s="91">
        <v>37105</v>
      </c>
      <c r="B27" t="s">
        <v>83</v>
      </c>
      <c r="C27" s="88">
        <f t="shared" si="17"/>
        <v>0.6405523643798241</v>
      </c>
      <c r="D27" s="178">
        <f t="shared" si="23"/>
        <v>0.10369153221270223</v>
      </c>
      <c r="E27" s="178">
        <v>0.22</v>
      </c>
      <c r="F27" s="94">
        <v>0.1618783068783069</v>
      </c>
      <c r="G27" s="71">
        <v>1899.6453615390119</v>
      </c>
      <c r="H27" s="8">
        <v>17.598860280631989</v>
      </c>
      <c r="I27" s="8">
        <v>0</v>
      </c>
      <c r="J27" s="8">
        <v>1.75094121086722</v>
      </c>
      <c r="K27" s="8">
        <v>460.23593425617912</v>
      </c>
      <c r="L27" s="8">
        <v>819.01112489494585</v>
      </c>
      <c r="M27" s="95">
        <v>126.0073768340722</v>
      </c>
      <c r="N27" s="96">
        <v>2588.4279777296351</v>
      </c>
      <c r="O27" s="71">
        <v>223.20297900657141</v>
      </c>
      <c r="P27" s="8">
        <v>0</v>
      </c>
      <c r="Q27" s="95">
        <v>81.405810376357138</v>
      </c>
      <c r="R27" s="71">
        <v>0</v>
      </c>
      <c r="S27" s="8">
        <v>0</v>
      </c>
      <c r="T27" s="8">
        <v>0</v>
      </c>
      <c r="U27" s="8">
        <v>0</v>
      </c>
      <c r="V27" s="8">
        <v>769.05246302692569</v>
      </c>
      <c r="W27" s="8">
        <v>149.6990546323</v>
      </c>
      <c r="X27" s="8">
        <v>0</v>
      </c>
      <c r="Y27" s="95">
        <v>70.281575977094292</v>
      </c>
      <c r="Z27" s="97">
        <v>16.561204856371429</v>
      </c>
      <c r="AA27" s="8"/>
      <c r="AB27" s="98">
        <f t="shared" si="24"/>
        <v>189.44710926574365</v>
      </c>
      <c r="AC27" s="71">
        <f t="shared" si="18"/>
        <v>7412.3277738867091</v>
      </c>
      <c r="AD27" s="8">
        <v>2822.9232829981379</v>
      </c>
      <c r="AE27" s="95">
        <f t="shared" si="25"/>
        <v>4589.4044908885717</v>
      </c>
      <c r="AF27" s="172" t="s">
        <v>84</v>
      </c>
      <c r="AG27" s="100">
        <v>18.10129906878694</v>
      </c>
      <c r="AH27" s="101">
        <v>0.59100835801305485</v>
      </c>
      <c r="AI27" s="101">
        <v>0</v>
      </c>
      <c r="AJ27" s="101">
        <v>2.107185296243012E-2</v>
      </c>
      <c r="AK27" s="101">
        <v>12.0538704906073</v>
      </c>
      <c r="AL27" s="101">
        <v>8.8162504265590815</v>
      </c>
      <c r="AM27" s="98">
        <v>8.7989148688902485</v>
      </c>
      <c r="AN27" s="101">
        <v>83.454191482171424</v>
      </c>
      <c r="AO27" s="100">
        <v>4.4457393596618111</v>
      </c>
      <c r="AP27" s="101">
        <v>3.4158457397385607E-2</v>
      </c>
      <c r="AQ27" s="98">
        <v>1.144525575450001</v>
      </c>
      <c r="AR27" s="100">
        <v>4.4824707085608066</v>
      </c>
      <c r="AS27" s="101">
        <v>0</v>
      </c>
      <c r="AT27" s="101">
        <v>0</v>
      </c>
      <c r="AU27" s="101">
        <v>8.6822329439380716E-2</v>
      </c>
      <c r="AV27" s="101">
        <v>17.127670891942628</v>
      </c>
      <c r="AW27" s="101">
        <v>5.7416034606490758</v>
      </c>
      <c r="AX27" s="101">
        <v>1.0205044554535541</v>
      </c>
      <c r="AY27" s="98">
        <v>1.782935366165916</v>
      </c>
      <c r="AZ27" s="100">
        <v>21.744072113032608</v>
      </c>
      <c r="BA27" s="98"/>
      <c r="BB27" s="102">
        <f t="shared" si="26"/>
        <v>189.44710926574365</v>
      </c>
      <c r="BC27" s="10"/>
      <c r="BD27" s="71">
        <f t="shared" si="19"/>
        <v>37105</v>
      </c>
      <c r="BE27" s="8" t="str">
        <f t="shared" si="19"/>
        <v>Tochten FGIK</v>
      </c>
      <c r="BF27" s="7">
        <f t="shared" si="27"/>
        <v>0.25872394193952569</v>
      </c>
      <c r="BG27" s="7">
        <f t="shared" si="20"/>
        <v>2.4540021965470979E-3</v>
      </c>
      <c r="BH27" s="7">
        <f t="shared" si="20"/>
        <v>0</v>
      </c>
      <c r="BI27" s="7">
        <f t="shared" si="20"/>
        <v>2.3906296616730454E-4</v>
      </c>
      <c r="BJ27" s="7">
        <f t="shared" si="20"/>
        <v>6.3716799790025716E-2</v>
      </c>
      <c r="BK27" s="7">
        <f t="shared" si="20"/>
        <v>0.11168251061939043</v>
      </c>
      <c r="BL27" s="7">
        <f t="shared" si="20"/>
        <v>1.8186768828259165E-2</v>
      </c>
      <c r="BM27" s="7">
        <f t="shared" si="20"/>
        <v>0.36046465438626785</v>
      </c>
      <c r="BN27" s="7">
        <f t="shared" si="20"/>
        <v>3.071217643237921E-2</v>
      </c>
      <c r="BO27" s="7">
        <f t="shared" si="20"/>
        <v>4.608330667421952E-6</v>
      </c>
      <c r="BP27" s="7">
        <f t="shared" si="20"/>
        <v>1.1136897675063451E-2</v>
      </c>
      <c r="BQ27" s="7">
        <f t="shared" si="20"/>
        <v>6.0473185284012204E-4</v>
      </c>
      <c r="BR27" s="7">
        <f t="shared" si="20"/>
        <v>0</v>
      </c>
      <c r="BS27" s="7">
        <f t="shared" si="20"/>
        <v>0</v>
      </c>
      <c r="BT27" s="7">
        <f t="shared" si="20"/>
        <v>1.1713233964808168E-5</v>
      </c>
      <c r="BU27" s="7">
        <f t="shared" si="20"/>
        <v>0.1060638652122947</v>
      </c>
      <c r="BV27" s="7">
        <f t="shared" si="20"/>
        <v>2.0970559159642049E-2</v>
      </c>
      <c r="BW27" s="7">
        <f t="shared" si="21"/>
        <v>1.3767664984389174E-4</v>
      </c>
      <c r="BX27" s="7">
        <f t="shared" si="21"/>
        <v>9.7222510311996968E-3</v>
      </c>
      <c r="BY27" s="7">
        <f t="shared" si="21"/>
        <v>5.167779695921134E-3</v>
      </c>
      <c r="BZ27" s="72">
        <f t="shared" si="11"/>
        <v>0.99999999999999967</v>
      </c>
      <c r="CA27" s="261">
        <f t="shared" si="28"/>
        <v>0.6405523643798241</v>
      </c>
      <c r="CB27" s="74">
        <f t="shared" si="22"/>
        <v>0</v>
      </c>
    </row>
    <row r="28" spans="1:80" x14ac:dyDescent="0.3">
      <c r="A28" s="91">
        <v>37106</v>
      </c>
      <c r="B28" t="s">
        <v>85</v>
      </c>
      <c r="C28" s="88">
        <f t="shared" si="17"/>
        <v>0.46228918956449216</v>
      </c>
      <c r="D28" s="178">
        <f t="shared" si="23"/>
        <v>7.4455465239910812E-2</v>
      </c>
      <c r="E28" s="178">
        <v>0.22</v>
      </c>
      <c r="F28" s="94">
        <v>0.16105820105820107</v>
      </c>
      <c r="G28" s="71">
        <v>668.7072037840295</v>
      </c>
      <c r="H28" s="8">
        <v>12.10197676851991</v>
      </c>
      <c r="I28" s="8">
        <v>0</v>
      </c>
      <c r="J28" s="8">
        <v>0.24042480536709701</v>
      </c>
      <c r="K28" s="8">
        <v>110.210551801563</v>
      </c>
      <c r="L28" s="8">
        <v>434.15303110748658</v>
      </c>
      <c r="M28" s="95">
        <v>55.600585457983897</v>
      </c>
      <c r="N28" s="96">
        <v>87.811450843994251</v>
      </c>
      <c r="O28" s="71">
        <v>142.7038484077143</v>
      </c>
      <c r="P28" s="8">
        <v>0</v>
      </c>
      <c r="Q28" s="95">
        <v>47.922800469142857</v>
      </c>
      <c r="R28" s="71">
        <v>0</v>
      </c>
      <c r="S28" s="8">
        <v>0</v>
      </c>
      <c r="T28" s="8">
        <v>0</v>
      </c>
      <c r="U28" s="8">
        <v>0</v>
      </c>
      <c r="V28" s="8">
        <v>25.333630375002858</v>
      </c>
      <c r="W28" s="8">
        <v>19.3792221506</v>
      </c>
      <c r="X28" s="8">
        <v>0</v>
      </c>
      <c r="Y28" s="95">
        <v>9.3383761384828574</v>
      </c>
      <c r="Z28" s="97">
        <v>0</v>
      </c>
      <c r="AA28" s="8"/>
      <c r="AB28" s="98">
        <f t="shared" si="24"/>
        <v>90.972834192081038</v>
      </c>
      <c r="AC28" s="71">
        <f t="shared" si="18"/>
        <v>1704.4759363019682</v>
      </c>
      <c r="AD28" s="8">
        <v>792.78891599498149</v>
      </c>
      <c r="AE28" s="95">
        <f t="shared" si="25"/>
        <v>911.68702030698671</v>
      </c>
      <c r="AF28" s="172" t="s">
        <v>86</v>
      </c>
      <c r="AG28" s="100">
        <v>8.6922755656097603</v>
      </c>
      <c r="AH28" s="101">
        <v>0.28380325024773428</v>
      </c>
      <c r="AI28" s="101">
        <v>0</v>
      </c>
      <c r="AJ28" s="101">
        <v>1.011874075619743E-2</v>
      </c>
      <c r="AK28" s="101">
        <v>5.7882897541425926</v>
      </c>
      <c r="AL28" s="101">
        <v>4.2335789200466314</v>
      </c>
      <c r="AM28" s="98">
        <v>4.2252543548445214</v>
      </c>
      <c r="AN28" s="101">
        <v>40.074849142681437</v>
      </c>
      <c r="AO28" s="100">
        <v>2.134851839097736</v>
      </c>
      <c r="AP28" s="101">
        <v>1.6402951162008211E-2</v>
      </c>
      <c r="AQ28" s="98">
        <v>0.54960318902494065</v>
      </c>
      <c r="AR28" s="100">
        <v>2.1524902972721098</v>
      </c>
      <c r="AS28" s="101">
        <v>0</v>
      </c>
      <c r="AT28" s="101">
        <v>0</v>
      </c>
      <c r="AU28" s="101">
        <v>4.1692234898024087E-2</v>
      </c>
      <c r="AV28" s="101">
        <v>8.2247376071785716</v>
      </c>
      <c r="AW28" s="101">
        <v>2.7571280535593599</v>
      </c>
      <c r="AX28" s="101">
        <v>0.49004802964836452</v>
      </c>
      <c r="AY28" s="98">
        <v>0.85616869040681853</v>
      </c>
      <c r="AZ28" s="100">
        <v>10.441541571504249</v>
      </c>
      <c r="BA28" s="98"/>
      <c r="BB28" s="102">
        <f t="shared" si="26"/>
        <v>90.972834192081038</v>
      </c>
      <c r="BC28" s="10"/>
      <c r="BD28" s="71">
        <f t="shared" si="19"/>
        <v>37106</v>
      </c>
      <c r="BE28" s="8" t="str">
        <f t="shared" si="19"/>
        <v>Tochten FGIK ZUID</v>
      </c>
      <c r="BF28" s="7">
        <f t="shared" si="27"/>
        <v>0.39742390310263076</v>
      </c>
      <c r="BG28" s="7">
        <f t="shared" si="20"/>
        <v>7.2666206397960873E-3</v>
      </c>
      <c r="BH28" s="7">
        <f t="shared" si="20"/>
        <v>0</v>
      </c>
      <c r="BI28" s="7">
        <f t="shared" si="20"/>
        <v>1.4699154196736496E-4</v>
      </c>
      <c r="BJ28" s="7">
        <f t="shared" si="20"/>
        <v>6.8055429287770836E-2</v>
      </c>
      <c r="BK28" s="7">
        <f t="shared" si="20"/>
        <v>0.25719730076017205</v>
      </c>
      <c r="BL28" s="7">
        <f t="shared" si="20"/>
        <v>3.5099257512914254E-2</v>
      </c>
      <c r="BM28" s="7">
        <f t="shared" si="20"/>
        <v>7.5029689339080871E-2</v>
      </c>
      <c r="BN28" s="7">
        <f t="shared" si="20"/>
        <v>8.4975503122123361E-2</v>
      </c>
      <c r="BO28" s="7">
        <f t="shared" si="20"/>
        <v>9.6234571651366702E-6</v>
      </c>
      <c r="BP28" s="7">
        <f t="shared" si="20"/>
        <v>2.8438303308249424E-2</v>
      </c>
      <c r="BQ28" s="7">
        <f t="shared" si="20"/>
        <v>1.2628458116822428E-3</v>
      </c>
      <c r="BR28" s="7">
        <f t="shared" si="20"/>
        <v>0</v>
      </c>
      <c r="BS28" s="7">
        <f t="shared" si="20"/>
        <v>0</v>
      </c>
      <c r="BT28" s="7">
        <f t="shared" si="20"/>
        <v>2.4460442069061756E-5</v>
      </c>
      <c r="BU28" s="7">
        <f t="shared" si="20"/>
        <v>1.9688378854435272E-2</v>
      </c>
      <c r="BV28" s="7">
        <f t="shared" si="20"/>
        <v>1.2987188456404022E-2</v>
      </c>
      <c r="BW28" s="7">
        <f t="shared" si="21"/>
        <v>2.8750656973871566E-4</v>
      </c>
      <c r="BX28" s="7">
        <f t="shared" si="21"/>
        <v>5.9810435640457122E-3</v>
      </c>
      <c r="BY28" s="7">
        <f t="shared" si="21"/>
        <v>6.1259542297547615E-3</v>
      </c>
      <c r="BZ28" s="72">
        <f t="shared" si="11"/>
        <v>0.99999999999999978</v>
      </c>
      <c r="CA28" s="261">
        <f t="shared" si="28"/>
        <v>0.46228918956449211</v>
      </c>
      <c r="CB28" s="74">
        <f t="shared" si="22"/>
        <v>0</v>
      </c>
    </row>
    <row r="29" spans="1:80" x14ac:dyDescent="0.3">
      <c r="A29" s="91">
        <v>37107</v>
      </c>
      <c r="B29" t="s">
        <v>87</v>
      </c>
      <c r="C29" s="88">
        <f t="shared" si="17"/>
        <v>0.63896405547428037</v>
      </c>
      <c r="D29" s="178">
        <f t="shared" si="23"/>
        <v>4.7751153074283285E-2</v>
      </c>
      <c r="E29" s="178">
        <v>0.22</v>
      </c>
      <c r="F29" s="94">
        <v>7.4732142857142872E-2</v>
      </c>
      <c r="G29" s="71">
        <v>1205.651947258357</v>
      </c>
      <c r="H29" s="8">
        <v>6.1869713561089901</v>
      </c>
      <c r="I29" s="8">
        <v>0</v>
      </c>
      <c r="J29" s="8">
        <v>0.83969798217530334</v>
      </c>
      <c r="K29" s="8">
        <v>61.439120811522002</v>
      </c>
      <c r="L29" s="8">
        <v>576.19903237986182</v>
      </c>
      <c r="M29" s="95">
        <v>8.4428312679145847</v>
      </c>
      <c r="N29" s="96">
        <v>1441.0128046396851</v>
      </c>
      <c r="O29" s="71">
        <v>71.351552771571434</v>
      </c>
      <c r="P29" s="8">
        <v>3.1913393812671429</v>
      </c>
      <c r="Q29" s="95">
        <v>54.139538421428583</v>
      </c>
      <c r="R29" s="71">
        <v>0</v>
      </c>
      <c r="S29" s="8">
        <v>0</v>
      </c>
      <c r="T29" s="8">
        <v>0</v>
      </c>
      <c r="U29" s="8">
        <v>3.5305792633799999</v>
      </c>
      <c r="V29" s="8">
        <v>21.197579508578571</v>
      </c>
      <c r="W29" s="8">
        <v>0</v>
      </c>
      <c r="X29" s="8">
        <v>0</v>
      </c>
      <c r="Y29" s="95">
        <v>47.261443757078567</v>
      </c>
      <c r="Z29" s="97">
        <v>0</v>
      </c>
      <c r="AA29" s="8"/>
      <c r="AB29" s="98">
        <f t="shared" si="24"/>
        <v>1709.6713789722651</v>
      </c>
      <c r="AC29" s="71">
        <f t="shared" si="18"/>
        <v>5210.1158177711941</v>
      </c>
      <c r="AD29" s="8">
        <v>1659.8526538020119</v>
      </c>
      <c r="AE29" s="95">
        <f t="shared" si="25"/>
        <v>3550.2631639691822</v>
      </c>
      <c r="AF29" s="172" t="s">
        <v>88</v>
      </c>
      <c r="AG29" s="100">
        <v>163.35574113570451</v>
      </c>
      <c r="AH29" s="101">
        <v>5.33357346197851</v>
      </c>
      <c r="AI29" s="101">
        <v>0</v>
      </c>
      <c r="AJ29" s="101">
        <v>0.19016359791082349</v>
      </c>
      <c r="AK29" s="101">
        <v>108.7805322736381</v>
      </c>
      <c r="AL29" s="101">
        <v>79.56252846802137</v>
      </c>
      <c r="AM29" s="98">
        <v>79.406083184164586</v>
      </c>
      <c r="AN29" s="101">
        <v>753.13496830505153</v>
      </c>
      <c r="AO29" s="100">
        <v>40.12071427768506</v>
      </c>
      <c r="AP29" s="101">
        <v>0.30826407005363388</v>
      </c>
      <c r="AQ29" s="98">
        <v>10.32880695003804</v>
      </c>
      <c r="AR29" s="100">
        <v>40.452197487785497</v>
      </c>
      <c r="AS29" s="101">
        <v>0</v>
      </c>
      <c r="AT29" s="101">
        <v>0</v>
      </c>
      <c r="AU29" s="101">
        <v>0.78353083493077746</v>
      </c>
      <c r="AV29" s="101">
        <v>154.56920311903471</v>
      </c>
      <c r="AW29" s="101">
        <v>51.815280497683673</v>
      </c>
      <c r="AX29" s="101">
        <v>9.2095744631037437</v>
      </c>
      <c r="AY29" s="98">
        <v>16.090156128038061</v>
      </c>
      <c r="AZ29" s="100">
        <v>196.23006071744251</v>
      </c>
      <c r="BA29" s="98"/>
      <c r="BB29" s="102">
        <f t="shared" si="26"/>
        <v>1709.6713789722651</v>
      </c>
      <c r="BC29" s="10"/>
      <c r="BD29" s="71">
        <f t="shared" si="19"/>
        <v>37107</v>
      </c>
      <c r="BE29" s="8" t="str">
        <f t="shared" si="19"/>
        <v>Tochten H</v>
      </c>
      <c r="BF29" s="7">
        <f t="shared" si="27"/>
        <v>0.26275955012833124</v>
      </c>
      <c r="BG29" s="7">
        <f t="shared" si="20"/>
        <v>2.2111878547482673E-3</v>
      </c>
      <c r="BH29" s="7">
        <f t="shared" si="20"/>
        <v>0</v>
      </c>
      <c r="BI29" s="7">
        <f t="shared" si="20"/>
        <v>1.9766577483236935E-4</v>
      </c>
      <c r="BJ29" s="7">
        <f t="shared" si="20"/>
        <v>3.2670992169609274E-2</v>
      </c>
      <c r="BK29" s="7">
        <f t="shared" si="20"/>
        <v>0.12586314465623677</v>
      </c>
      <c r="BL29" s="7">
        <f t="shared" si="20"/>
        <v>1.6861221040890328E-2</v>
      </c>
      <c r="BM29" s="7">
        <f t="shared" si="20"/>
        <v>0.42113224536404997</v>
      </c>
      <c r="BN29" s="7">
        <f t="shared" si="20"/>
        <v>2.1395352991777174E-2</v>
      </c>
      <c r="BO29" s="7">
        <f t="shared" si="20"/>
        <v>6.7169398411144198E-4</v>
      </c>
      <c r="BP29" s="7">
        <f t="shared" si="20"/>
        <v>1.2373687577456804E-2</v>
      </c>
      <c r="BQ29" s="7">
        <f t="shared" si="20"/>
        <v>7.7641647331153406E-3</v>
      </c>
      <c r="BR29" s="7">
        <f t="shared" si="20"/>
        <v>0</v>
      </c>
      <c r="BS29" s="7">
        <f t="shared" si="20"/>
        <v>0</v>
      </c>
      <c r="BT29" s="7">
        <f t="shared" si="20"/>
        <v>8.280257578143985E-4</v>
      </c>
      <c r="BU29" s="7">
        <f t="shared" si="20"/>
        <v>3.3735676667318991E-2</v>
      </c>
      <c r="BV29" s="7">
        <f t="shared" si="20"/>
        <v>9.9451302638891119E-3</v>
      </c>
      <c r="BW29" s="7">
        <f t="shared" si="21"/>
        <v>1.7676333473606841E-3</v>
      </c>
      <c r="BX29" s="7">
        <f t="shared" si="21"/>
        <v>1.2159345799767162E-2</v>
      </c>
      <c r="BY29" s="7">
        <f t="shared" si="21"/>
        <v>3.7663281888690656E-2</v>
      </c>
      <c r="BZ29" s="72">
        <f t="shared" si="11"/>
        <v>1.0000000000000002</v>
      </c>
      <c r="CA29" s="261">
        <f t="shared" si="28"/>
        <v>0.63896405547428026</v>
      </c>
      <c r="CB29" s="74">
        <f t="shared" si="22"/>
        <v>0</v>
      </c>
    </row>
    <row r="30" spans="1:80" x14ac:dyDescent="0.3">
      <c r="A30" s="91">
        <v>37108</v>
      </c>
      <c r="B30" t="s">
        <v>156</v>
      </c>
      <c r="C30" s="88">
        <f t="shared" si="17"/>
        <v>0.65132733088712624</v>
      </c>
      <c r="D30" s="178">
        <f t="shared" si="23"/>
        <v>0.17738898732957722</v>
      </c>
      <c r="E30" s="178">
        <v>0.27</v>
      </c>
      <c r="F30" s="94">
        <v>0.27234998274672184</v>
      </c>
      <c r="G30" s="71">
        <v>1270.1816362125139</v>
      </c>
      <c r="H30" s="8">
        <v>21.721925283407248</v>
      </c>
      <c r="I30" s="8">
        <v>0</v>
      </c>
      <c r="J30" s="8">
        <v>1.2182771922125051</v>
      </c>
      <c r="K30" s="8">
        <v>935.26301441491705</v>
      </c>
      <c r="L30" s="8">
        <v>311.13772691629669</v>
      </c>
      <c r="M30" s="95">
        <v>172.72595276618529</v>
      </c>
      <c r="N30" s="96">
        <v>1647.8962400406799</v>
      </c>
      <c r="O30" s="71">
        <v>163.8738566927143</v>
      </c>
      <c r="P30" s="8">
        <v>0.9924606813757143</v>
      </c>
      <c r="Q30" s="95">
        <v>73.462661825214283</v>
      </c>
      <c r="R30" s="71">
        <v>0</v>
      </c>
      <c r="S30" s="8">
        <v>0</v>
      </c>
      <c r="T30" s="8">
        <v>0</v>
      </c>
      <c r="U30" s="8">
        <v>9.2633167579057147</v>
      </c>
      <c r="V30" s="8">
        <v>494.78341983392141</v>
      </c>
      <c r="W30" s="8">
        <v>28.823111460100002</v>
      </c>
      <c r="X30" s="8">
        <v>0.56459428142857149</v>
      </c>
      <c r="Y30" s="95">
        <v>73.528619795772855</v>
      </c>
      <c r="Z30" s="97">
        <v>10.536735428571429</v>
      </c>
      <c r="AA30" s="8"/>
      <c r="AB30" s="98">
        <f t="shared" si="24"/>
        <v>0</v>
      </c>
      <c r="AC30" s="71">
        <f t="shared" si="18"/>
        <v>5215.9735495832183</v>
      </c>
      <c r="AD30" s="8">
        <v>2101.6405704283738</v>
      </c>
      <c r="AE30" s="95">
        <f t="shared" si="25"/>
        <v>3114.3329791548445</v>
      </c>
      <c r="AF30" s="172" t="s">
        <v>90</v>
      </c>
      <c r="AG30" s="100"/>
      <c r="AH30" s="101"/>
      <c r="AI30" s="101"/>
      <c r="AJ30" s="101"/>
      <c r="AK30" s="101"/>
      <c r="AL30" s="101"/>
      <c r="AM30" s="98"/>
      <c r="AN30" s="101"/>
      <c r="AO30" s="100"/>
      <c r="AP30" s="101"/>
      <c r="AQ30" s="98"/>
      <c r="AR30" s="100"/>
      <c r="AS30" s="101"/>
      <c r="AT30" s="101"/>
      <c r="AU30" s="101"/>
      <c r="AV30" s="101"/>
      <c r="AW30" s="101"/>
      <c r="AX30" s="101"/>
      <c r="AY30" s="98"/>
      <c r="AZ30" s="100"/>
      <c r="BA30" s="98"/>
      <c r="BB30" s="102">
        <f t="shared" si="26"/>
        <v>0</v>
      </c>
      <c r="BC30" s="10"/>
      <c r="BD30" s="71">
        <f t="shared" si="19"/>
        <v>37108</v>
      </c>
      <c r="BE30" s="8" t="str">
        <f t="shared" si="19"/>
        <v>Tochten J</v>
      </c>
      <c r="BF30" s="7">
        <f t="shared" si="27"/>
        <v>0.24351765286731711</v>
      </c>
      <c r="BG30" s="7">
        <f t="shared" si="20"/>
        <v>4.164500658777868E-3</v>
      </c>
      <c r="BH30" s="7">
        <f t="shared" si="20"/>
        <v>0</v>
      </c>
      <c r="BI30" s="7">
        <f t="shared" si="20"/>
        <v>2.3356659703725901E-4</v>
      </c>
      <c r="BJ30" s="7">
        <f t="shared" si="20"/>
        <v>0.17930746878301351</v>
      </c>
      <c r="BK30" s="7">
        <f t="shared" si="20"/>
        <v>5.9650940319886804E-2</v>
      </c>
      <c r="BL30" s="7">
        <f t="shared" si="20"/>
        <v>3.3114806109395808E-2</v>
      </c>
      <c r="BM30" s="7">
        <f t="shared" si="20"/>
        <v>0.31593262971441927</v>
      </c>
      <c r="BN30" s="7">
        <f t="shared" si="20"/>
        <v>3.1417693194745709E-2</v>
      </c>
      <c r="BO30" s="7">
        <f t="shared" si="20"/>
        <v>1.9027333477467822E-4</v>
      </c>
      <c r="BP30" s="7">
        <f t="shared" si="20"/>
        <v>1.4084170697354152E-2</v>
      </c>
      <c r="BQ30" s="7">
        <f t="shared" si="20"/>
        <v>0</v>
      </c>
      <c r="BR30" s="7">
        <f t="shared" si="20"/>
        <v>0</v>
      </c>
      <c r="BS30" s="7">
        <f t="shared" si="20"/>
        <v>0</v>
      </c>
      <c r="BT30" s="7">
        <f t="shared" si="20"/>
        <v>1.7759516358448364E-3</v>
      </c>
      <c r="BU30" s="7">
        <f t="shared" si="20"/>
        <v>9.4859265510166754E-2</v>
      </c>
      <c r="BV30" s="7">
        <f t="shared" si="20"/>
        <v>5.5259312928078608E-3</v>
      </c>
      <c r="BW30" s="7">
        <f t="shared" si="21"/>
        <v>1.082433175823304E-4</v>
      </c>
      <c r="BX30" s="7">
        <f t="shared" si="21"/>
        <v>1.4096816077920515E-2</v>
      </c>
      <c r="BY30" s="7">
        <f t="shared" si="21"/>
        <v>2.0200898889553161E-3</v>
      </c>
      <c r="BZ30" s="72">
        <f t="shared" si="11"/>
        <v>0.99999999999999978</v>
      </c>
      <c r="CA30" s="261">
        <f t="shared" si="28"/>
        <v>0.65132733088712624</v>
      </c>
      <c r="CB30" s="74">
        <f t="shared" si="22"/>
        <v>0</v>
      </c>
    </row>
    <row r="31" spans="1:80" x14ac:dyDescent="0.3">
      <c r="A31" s="91">
        <v>37109</v>
      </c>
      <c r="B31" t="s">
        <v>91</v>
      </c>
      <c r="C31" s="88">
        <f>(SUMPRODUCT(G31:AA31,$G$38:$AA$38)+SUMPRODUCT(AG31:BA31,$AG$38:$BA$38))/AC31</f>
        <v>0.52760009964369359</v>
      </c>
      <c r="D31" s="178">
        <f t="shared" si="23"/>
        <v>7.3079104119337643E-2</v>
      </c>
      <c r="E31" s="178">
        <v>0.22</v>
      </c>
      <c r="F31" s="94">
        <v>0.13851230158730157</v>
      </c>
      <c r="G31" s="71">
        <v>5573.7285416657014</v>
      </c>
      <c r="H31" s="8">
        <v>543.89098499111594</v>
      </c>
      <c r="I31" s="8">
        <v>0</v>
      </c>
      <c r="J31" s="8">
        <v>4.5980529019173098</v>
      </c>
      <c r="K31" s="8">
        <v>4195.2216265809848</v>
      </c>
      <c r="L31" s="8">
        <v>2145.7247276161679</v>
      </c>
      <c r="M31" s="95">
        <v>149.1742660867655</v>
      </c>
      <c r="N31" s="96">
        <v>3807.9524716645328</v>
      </c>
      <c r="O31" s="71">
        <v>605.83687364155708</v>
      </c>
      <c r="P31" s="8">
        <v>462.24035373432861</v>
      </c>
      <c r="Q31" s="95">
        <v>275.86800589093713</v>
      </c>
      <c r="R31" s="71">
        <v>0</v>
      </c>
      <c r="S31" s="8">
        <v>0</v>
      </c>
      <c r="T31" s="8">
        <v>0</v>
      </c>
      <c r="U31" s="8">
        <v>48.769999150012147</v>
      </c>
      <c r="V31" s="8">
        <v>143.4997261198636</v>
      </c>
      <c r="W31" s="8">
        <v>39.545876558499998</v>
      </c>
      <c r="X31" s="8">
        <v>0.19865553399999999</v>
      </c>
      <c r="Y31" s="95">
        <v>155.50980220761431</v>
      </c>
      <c r="Z31" s="97">
        <v>4038.3667452609911</v>
      </c>
      <c r="AA31" s="8"/>
      <c r="AB31" s="98">
        <f t="shared" si="24"/>
        <v>282.6455739093854</v>
      </c>
      <c r="AC31" s="71">
        <f t="shared" si="18"/>
        <v>22472.772283514376</v>
      </c>
      <c r="AD31" s="8">
        <v>8785.7733448789641</v>
      </c>
      <c r="AE31" s="95">
        <f t="shared" si="25"/>
        <v>13686.998938635412</v>
      </c>
      <c r="AF31" s="172" t="s">
        <v>92</v>
      </c>
      <c r="AG31" s="100">
        <v>47.305088737730038</v>
      </c>
      <c r="AH31" s="101">
        <v>0.75680791974221973</v>
      </c>
      <c r="AI31" s="101">
        <v>0</v>
      </c>
      <c r="AJ31" s="101">
        <v>3.626271507969122E-2</v>
      </c>
      <c r="AK31" s="101">
        <v>24.302288344420621</v>
      </c>
      <c r="AL31" s="101">
        <v>15.89343217093359</v>
      </c>
      <c r="AM31" s="98">
        <v>0.96694343536564231</v>
      </c>
      <c r="AN31" s="101">
        <v>57.221755852031571</v>
      </c>
      <c r="AO31" s="100">
        <v>8.2145288699034751</v>
      </c>
      <c r="AP31" s="101">
        <v>6.7758438000753358</v>
      </c>
      <c r="AQ31" s="98">
        <v>2.7508946152876468</v>
      </c>
      <c r="AR31" s="100">
        <v>0</v>
      </c>
      <c r="AS31" s="101">
        <v>0</v>
      </c>
      <c r="AT31" s="101">
        <v>0</v>
      </c>
      <c r="AU31" s="101">
        <v>0.1520965379634544</v>
      </c>
      <c r="AV31" s="101">
        <v>0.43905932350389443</v>
      </c>
      <c r="AW31" s="101">
        <v>8.7028371153565168E-2</v>
      </c>
      <c r="AX31" s="101">
        <v>0.1771523953218021</v>
      </c>
      <c r="AY31" s="98">
        <v>1.092847055777969</v>
      </c>
      <c r="AZ31" s="100">
        <v>116.4735437650949</v>
      </c>
      <c r="BA31" s="98"/>
      <c r="BB31" s="102">
        <f t="shared" si="26"/>
        <v>282.6455739093854</v>
      </c>
      <c r="BC31" s="10"/>
      <c r="BD31" s="71">
        <f t="shared" si="19"/>
        <v>37109</v>
      </c>
      <c r="BE31" s="8" t="str">
        <f t="shared" si="19"/>
        <v>Tochten lage afdeling NOP</v>
      </c>
      <c r="BF31" s="7">
        <f t="shared" si="27"/>
        <v>0.25012640004931308</v>
      </c>
      <c r="BG31" s="7">
        <f t="shared" si="20"/>
        <v>2.4235896935172613E-2</v>
      </c>
      <c r="BH31" s="7">
        <f t="shared" si="20"/>
        <v>0</v>
      </c>
      <c r="BI31" s="7">
        <f t="shared" si="20"/>
        <v>2.0621913302599752E-4</v>
      </c>
      <c r="BJ31" s="7">
        <f t="shared" si="20"/>
        <v>0.18776161043650022</v>
      </c>
      <c r="BK31" s="7">
        <f t="shared" si="20"/>
        <v>9.6188317690240013E-2</v>
      </c>
      <c r="BL31" s="7">
        <f t="shared" si="20"/>
        <v>6.6810274953158335E-3</v>
      </c>
      <c r="BM31" s="7">
        <f t="shared" si="20"/>
        <v>0.17199365430993074</v>
      </c>
      <c r="BN31" s="7">
        <f t="shared" si="20"/>
        <v>2.7324239073161331E-2</v>
      </c>
      <c r="BO31" s="7">
        <f t="shared" si="20"/>
        <v>2.0870420062880531E-2</v>
      </c>
      <c r="BP31" s="7">
        <f t="shared" si="20"/>
        <v>1.2398065400707798E-2</v>
      </c>
      <c r="BQ31" s="7">
        <f t="shared" si="20"/>
        <v>0</v>
      </c>
      <c r="BR31" s="7">
        <f t="shared" si="20"/>
        <v>0</v>
      </c>
      <c r="BS31" s="7">
        <f t="shared" si="20"/>
        <v>0</v>
      </c>
      <c r="BT31" s="7">
        <f t="shared" si="20"/>
        <v>2.1769497359194964E-3</v>
      </c>
      <c r="BU31" s="7">
        <f t="shared" si="20"/>
        <v>6.4050302128927112E-3</v>
      </c>
      <c r="BV31" s="7">
        <f t="shared" si="20"/>
        <v>1.7635966061351298E-3</v>
      </c>
      <c r="BW31" s="7">
        <f t="shared" si="21"/>
        <v>1.6722811257135732E-5</v>
      </c>
      <c r="BX31" s="7">
        <f t="shared" si="21"/>
        <v>6.9685505325158834E-3</v>
      </c>
      <c r="BY31" s="7">
        <f t="shared" si="21"/>
        <v>0.18488329951503146</v>
      </c>
      <c r="BZ31" s="72">
        <f t="shared" si="11"/>
        <v>0.99999999999999989</v>
      </c>
      <c r="CA31" s="261">
        <f>SUMPRODUCT(BF31:BY31,$BF$38:$BY$38)</f>
        <v>0.5276000996436937</v>
      </c>
      <c r="CB31" s="74">
        <f t="shared" si="22"/>
        <v>0</v>
      </c>
    </row>
    <row r="32" spans="1:80" x14ac:dyDescent="0.3">
      <c r="A32" s="91">
        <v>37110</v>
      </c>
      <c r="B32" t="s">
        <v>93</v>
      </c>
      <c r="C32" s="88">
        <f t="shared" si="17"/>
        <v>0.83874356865346833</v>
      </c>
      <c r="D32" s="178"/>
      <c r="E32" s="178"/>
      <c r="F32" s="94"/>
      <c r="G32" s="71">
        <v>12.316678421605159</v>
      </c>
      <c r="H32" s="8">
        <v>1.3682770667905599</v>
      </c>
      <c r="I32" s="8">
        <v>0</v>
      </c>
      <c r="J32" s="8">
        <v>3.7618471981825823E-2</v>
      </c>
      <c r="K32" s="8">
        <v>7.7183250655331088</v>
      </c>
      <c r="L32" s="8">
        <v>6.1137037579392954</v>
      </c>
      <c r="M32" s="95">
        <v>234.19767617662939</v>
      </c>
      <c r="N32" s="96">
        <v>12.771302630090871</v>
      </c>
      <c r="O32" s="71">
        <v>0</v>
      </c>
      <c r="P32" s="8">
        <v>18.525152871</v>
      </c>
      <c r="Q32" s="95">
        <v>1.4376787876428569</v>
      </c>
      <c r="R32" s="71">
        <v>0</v>
      </c>
      <c r="S32" s="8">
        <v>0</v>
      </c>
      <c r="T32" s="8">
        <v>0</v>
      </c>
      <c r="U32" s="8">
        <v>0</v>
      </c>
      <c r="V32" s="8">
        <v>756.44828654078572</v>
      </c>
      <c r="W32" s="8">
        <v>1590.4636182500001</v>
      </c>
      <c r="X32" s="8">
        <v>0</v>
      </c>
      <c r="Y32" s="95">
        <v>106.9639972471429</v>
      </c>
      <c r="Z32" s="97">
        <v>0</v>
      </c>
      <c r="AA32" s="8"/>
      <c r="AB32" s="98">
        <f t="shared" si="24"/>
        <v>0</v>
      </c>
      <c r="AC32" s="71">
        <f t="shared" si="18"/>
        <v>2748.3623152871419</v>
      </c>
      <c r="AD32" s="8">
        <v>893.21068137954353</v>
      </c>
      <c r="AE32" s="95">
        <f t="shared" si="25"/>
        <v>1855.1516339075984</v>
      </c>
      <c r="AF32" s="172" t="s">
        <v>93</v>
      </c>
      <c r="AG32" s="100"/>
      <c r="AH32" s="101"/>
      <c r="AI32" s="101"/>
      <c r="AJ32" s="101"/>
      <c r="AK32" s="101"/>
      <c r="AL32" s="101"/>
      <c r="AM32" s="98"/>
      <c r="AN32" s="101"/>
      <c r="AO32" s="100"/>
      <c r="AP32" s="101"/>
      <c r="AQ32" s="98"/>
      <c r="AR32" s="100"/>
      <c r="AS32" s="101"/>
      <c r="AT32" s="101"/>
      <c r="AU32" s="101"/>
      <c r="AV32" s="101"/>
      <c r="AW32" s="101"/>
      <c r="AX32" s="101"/>
      <c r="AY32" s="98"/>
      <c r="AZ32" s="100"/>
      <c r="BA32" s="98"/>
      <c r="BB32" s="102">
        <f t="shared" si="26"/>
        <v>0</v>
      </c>
      <c r="BC32" s="10"/>
      <c r="BD32" s="71">
        <f t="shared" si="19"/>
        <v>37110</v>
      </c>
      <c r="BE32" s="8" t="str">
        <f t="shared" si="19"/>
        <v>Oostvaardersplassen</v>
      </c>
      <c r="BF32" s="7">
        <f t="shared" si="27"/>
        <v>4.4814609606224146E-3</v>
      </c>
      <c r="BG32" s="7">
        <f t="shared" si="20"/>
        <v>4.9785177855911833E-4</v>
      </c>
      <c r="BH32" s="7">
        <f t="shared" si="20"/>
        <v>0</v>
      </c>
      <c r="BI32" s="7">
        <f t="shared" si="20"/>
        <v>1.3687595617427007E-5</v>
      </c>
      <c r="BJ32" s="7">
        <f t="shared" si="20"/>
        <v>2.8083360853122154E-3</v>
      </c>
      <c r="BK32" s="7">
        <f t="shared" si="20"/>
        <v>2.2244897348261566E-3</v>
      </c>
      <c r="BL32" s="7">
        <f t="shared" si="20"/>
        <v>8.5213537849052126E-2</v>
      </c>
      <c r="BM32" s="7">
        <f t="shared" si="20"/>
        <v>4.6468773636770509E-3</v>
      </c>
      <c r="BN32" s="7">
        <f t="shared" si="20"/>
        <v>0</v>
      </c>
      <c r="BO32" s="7">
        <f t="shared" si="20"/>
        <v>6.740433300208651E-3</v>
      </c>
      <c r="BP32" s="7">
        <f t="shared" si="20"/>
        <v>5.2310380609066527E-4</v>
      </c>
      <c r="BQ32" s="7">
        <f t="shared" si="20"/>
        <v>0</v>
      </c>
      <c r="BR32" s="7">
        <f t="shared" si="20"/>
        <v>0</v>
      </c>
      <c r="BS32" s="7">
        <f t="shared" si="20"/>
        <v>0</v>
      </c>
      <c r="BT32" s="7">
        <f t="shared" si="20"/>
        <v>0</v>
      </c>
      <c r="BU32" s="7">
        <f t="shared" si="20"/>
        <v>0.27523601321893176</v>
      </c>
      <c r="BV32" s="7">
        <f t="shared" si="20"/>
        <v>0.57869503209362427</v>
      </c>
      <c r="BW32" s="7">
        <f t="shared" si="21"/>
        <v>0</v>
      </c>
      <c r="BX32" s="7">
        <f t="shared" si="21"/>
        <v>3.8919176213478089E-2</v>
      </c>
      <c r="BY32" s="7">
        <f t="shared" si="21"/>
        <v>0</v>
      </c>
      <c r="BZ32" s="72">
        <f t="shared" si="11"/>
        <v>0.99999999999999989</v>
      </c>
      <c r="CA32" s="261">
        <f t="shared" si="28"/>
        <v>0.83874356865346833</v>
      </c>
      <c r="CB32" s="74">
        <f t="shared" si="22"/>
        <v>0</v>
      </c>
    </row>
    <row r="33" spans="1:80" x14ac:dyDescent="0.3">
      <c r="A33" s="91">
        <v>37111</v>
      </c>
      <c r="B33" t="s">
        <v>94</v>
      </c>
      <c r="C33" s="88">
        <f>(SUMPRODUCT(G33:AA33,$G$38:$AA$38)+SUMPRODUCT(AG33:BA33,$AG$38:$BA$38))/AC33</f>
        <v>0.46339250912117003</v>
      </c>
      <c r="D33" s="178">
        <f t="shared" si="23"/>
        <v>6.5125289758902818E-2</v>
      </c>
      <c r="E33" s="178">
        <v>0.22</v>
      </c>
      <c r="F33" s="94">
        <v>0.14054022988505746</v>
      </c>
      <c r="G33" s="71">
        <v>1180.0028190854921</v>
      </c>
      <c r="H33" s="8">
        <v>18.878211681479641</v>
      </c>
      <c r="I33" s="8">
        <v>0</v>
      </c>
      <c r="J33" s="8">
        <v>0.90455608822483191</v>
      </c>
      <c r="K33" s="8">
        <v>606.20896233035808</v>
      </c>
      <c r="L33" s="8">
        <v>396.45406587489327</v>
      </c>
      <c r="M33" s="95">
        <v>24.119941639970381</v>
      </c>
      <c r="N33" s="96">
        <v>892.10583655142159</v>
      </c>
      <c r="O33" s="71">
        <v>204.90749478742859</v>
      </c>
      <c r="P33" s="8">
        <v>169.0201836445286</v>
      </c>
      <c r="Q33" s="95">
        <v>68.619750806164291</v>
      </c>
      <c r="R33" s="71">
        <v>0</v>
      </c>
      <c r="S33" s="8">
        <v>0</v>
      </c>
      <c r="T33" s="8">
        <v>0</v>
      </c>
      <c r="U33" s="8">
        <v>3.793975412773571</v>
      </c>
      <c r="V33" s="8">
        <v>10.952124883493569</v>
      </c>
      <c r="W33" s="8">
        <v>1.3568006905000001</v>
      </c>
      <c r="X33" s="8">
        <v>2.7618636211428571</v>
      </c>
      <c r="Y33" s="95">
        <v>27.26054724887857</v>
      </c>
      <c r="Z33" s="97">
        <v>1815.8605350272469</v>
      </c>
      <c r="AA33" s="8"/>
      <c r="AB33" s="98">
        <f t="shared" si="24"/>
        <v>49.446909424790213</v>
      </c>
      <c r="AC33" s="71">
        <f t="shared" si="18"/>
        <v>5472.654578798788</v>
      </c>
      <c r="AD33" s="8">
        <v>1907.8677058048629</v>
      </c>
      <c r="AE33" s="95">
        <f t="shared" si="25"/>
        <v>3564.786872993925</v>
      </c>
      <c r="AF33" s="172" t="s">
        <v>95</v>
      </c>
      <c r="AG33" s="100">
        <v>10.236708137892</v>
      </c>
      <c r="AH33" s="101">
        <v>0.99873869528974812</v>
      </c>
      <c r="AI33" s="101">
        <v>0</v>
      </c>
      <c r="AJ33" s="101">
        <v>8.4446599595533588E-3</v>
      </c>
      <c r="AK33" s="101">
        <v>7.7044409850527602</v>
      </c>
      <c r="AL33" s="101">
        <v>3.9407344935799631</v>
      </c>
      <c r="AM33" s="98">
        <v>0.27396013290438098</v>
      </c>
      <c r="AN33" s="101">
        <v>11.190139638901719</v>
      </c>
      <c r="AO33" s="100">
        <v>1.11281622087262</v>
      </c>
      <c r="AP33" s="101">
        <v>0.84907713178110145</v>
      </c>
      <c r="AQ33" s="98">
        <v>0.50667727666967644</v>
      </c>
      <c r="AR33" s="100">
        <v>0</v>
      </c>
      <c r="AS33" s="101">
        <v>0</v>
      </c>
      <c r="AT33" s="101">
        <v>0</v>
      </c>
      <c r="AU33" s="101">
        <v>8.955934270881126E-2</v>
      </c>
      <c r="AV33" s="101">
        <v>0.26351697857607481</v>
      </c>
      <c r="AW33" s="101">
        <v>0.1161879359988445</v>
      </c>
      <c r="AX33" s="101">
        <v>5.9150553225700083E-4</v>
      </c>
      <c r="AY33" s="98">
        <v>0.28559917874705432</v>
      </c>
      <c r="AZ33" s="100">
        <v>11.86971711032365</v>
      </c>
      <c r="BA33" s="98"/>
      <c r="BB33" s="102">
        <f t="shared" si="26"/>
        <v>49.446909424790213</v>
      </c>
      <c r="BC33" s="10"/>
      <c r="BD33" s="71">
        <f t="shared" si="19"/>
        <v>37111</v>
      </c>
      <c r="BE33" s="8" t="str">
        <f t="shared" si="19"/>
        <v>Tochten hoge afdeling NOP</v>
      </c>
      <c r="BF33" s="7">
        <f t="shared" si="27"/>
        <v>0.21748851678569378</v>
      </c>
      <c r="BG33" s="7">
        <f t="shared" si="20"/>
        <v>3.632049143714137E-3</v>
      </c>
      <c r="BH33" s="7">
        <f t="shared" si="20"/>
        <v>0</v>
      </c>
      <c r="BI33" s="7">
        <f t="shared" si="20"/>
        <v>1.6682959522447752E-4</v>
      </c>
      <c r="BJ33" s="7">
        <f t="shared" si="20"/>
        <v>0.11217835777425603</v>
      </c>
      <c r="BK33" s="7">
        <f t="shared" si="20"/>
        <v>7.3162812416411871E-2</v>
      </c>
      <c r="BL33" s="7">
        <f t="shared" si="20"/>
        <v>4.4574166744192848E-3</v>
      </c>
      <c r="BM33" s="7">
        <f t="shared" si="20"/>
        <v>0.16505627446134027</v>
      </c>
      <c r="BN33" s="7">
        <f t="shared" si="20"/>
        <v>3.7645407368926492E-2</v>
      </c>
      <c r="BO33" s="7">
        <f t="shared" si="20"/>
        <v>3.1039645994539438E-2</v>
      </c>
      <c r="BP33" s="7">
        <f t="shared" si="20"/>
        <v>1.2631242678942615E-2</v>
      </c>
      <c r="BQ33" s="7">
        <f t="shared" si="20"/>
        <v>0</v>
      </c>
      <c r="BR33" s="7">
        <f t="shared" si="20"/>
        <v>0</v>
      </c>
      <c r="BS33" s="7">
        <f t="shared" si="20"/>
        <v>0</v>
      </c>
      <c r="BT33" s="7">
        <f t="shared" si="20"/>
        <v>7.0962541113544803E-4</v>
      </c>
      <c r="BU33" s="7">
        <f t="shared" si="20"/>
        <v>2.0493969974862553E-3</v>
      </c>
      <c r="BV33" s="7">
        <f t="shared" si="20"/>
        <v>2.6915432086747123E-4</v>
      </c>
      <c r="BW33" s="7">
        <f t="shared" si="21"/>
        <v>5.0477425295156393E-4</v>
      </c>
      <c r="BX33" s="7">
        <f t="shared" si="21"/>
        <v>5.0334158735945338E-3</v>
      </c>
      <c r="BY33" s="7">
        <f t="shared" si="21"/>
        <v>0.33397508025049616</v>
      </c>
      <c r="BZ33" s="72">
        <f t="shared" si="11"/>
        <v>1</v>
      </c>
      <c r="CA33" s="261">
        <f>SUMPRODUCT(BF33:BY33,$BF$38:$BY$38)</f>
        <v>0.46339250912116992</v>
      </c>
      <c r="CB33" s="74">
        <f t="shared" si="22"/>
        <v>0</v>
      </c>
    </row>
    <row r="34" spans="1:80" x14ac:dyDescent="0.3">
      <c r="A34" s="91">
        <v>37112</v>
      </c>
      <c r="B34" t="s">
        <v>96</v>
      </c>
      <c r="C34" s="88">
        <f>(SUMPRODUCT(G34:AA34,$G$38:$AA$38)+SUMPRODUCT(AG34:BA34,$AG$38:$BA$38))/AC34</f>
        <v>0.50614153258204542</v>
      </c>
      <c r="D34" s="178">
        <f t="shared" si="23"/>
        <v>5.8964484296735703E-2</v>
      </c>
      <c r="E34" s="178">
        <v>0.15</v>
      </c>
      <c r="F34" s="94">
        <v>0.11649801587301586</v>
      </c>
      <c r="G34" s="71">
        <v>271.31507243452722</v>
      </c>
      <c r="H34" s="8">
        <v>5.3707343911216316</v>
      </c>
      <c r="I34" s="8">
        <v>0</v>
      </c>
      <c r="J34" s="8">
        <v>0.16746908172052319</v>
      </c>
      <c r="K34" s="8">
        <v>97.499477293410848</v>
      </c>
      <c r="L34" s="8">
        <v>116.36690131957</v>
      </c>
      <c r="M34" s="95">
        <v>35.512053891521603</v>
      </c>
      <c r="N34" s="96">
        <v>2851.7205806674301</v>
      </c>
      <c r="O34" s="71">
        <v>13.066927509999999</v>
      </c>
      <c r="P34" s="8">
        <v>6.8370654960000001</v>
      </c>
      <c r="Q34" s="95">
        <v>15.23947594292857</v>
      </c>
      <c r="R34" s="71">
        <v>3287.8285714285712</v>
      </c>
      <c r="S34" s="8">
        <v>0</v>
      </c>
      <c r="T34" s="8">
        <v>0</v>
      </c>
      <c r="U34" s="8">
        <v>13.642647864857141</v>
      </c>
      <c r="V34" s="8">
        <v>37.079010485928571</v>
      </c>
      <c r="W34" s="8">
        <v>0.4922282925</v>
      </c>
      <c r="X34" s="8">
        <v>100.17072970928569</v>
      </c>
      <c r="Y34" s="95">
        <v>15.001092280714291</v>
      </c>
      <c r="Z34" s="97">
        <v>869.05115103877017</v>
      </c>
      <c r="AA34" s="8"/>
      <c r="AB34" s="98">
        <f t="shared" si="24"/>
        <v>16220.504097704787</v>
      </c>
      <c r="AC34" s="71">
        <f t="shared" si="18"/>
        <v>23956.865286833643</v>
      </c>
      <c r="AD34" s="8">
        <v>4506.0551214787047</v>
      </c>
      <c r="AE34" s="95">
        <f t="shared" si="25"/>
        <v>19450.810165354938</v>
      </c>
      <c r="AF34" s="172" t="s">
        <v>97</v>
      </c>
      <c r="AG34" s="100">
        <v>3244.6657932012281</v>
      </c>
      <c r="AH34" s="101">
        <v>277.53936586954768</v>
      </c>
      <c r="AI34" s="101">
        <v>0</v>
      </c>
      <c r="AJ34" s="101">
        <v>2.648725734877249</v>
      </c>
      <c r="AK34" s="101">
        <v>2327.7319697149651</v>
      </c>
      <c r="AL34" s="101">
        <v>1225.6341629200199</v>
      </c>
      <c r="AM34" s="98">
        <v>83.810755691661527</v>
      </c>
      <c r="AN34" s="101">
        <v>3602.6045655139528</v>
      </c>
      <c r="AO34" s="100">
        <v>383.79326363261652</v>
      </c>
      <c r="AP34" s="101">
        <v>297.97331550656531</v>
      </c>
      <c r="AQ34" s="98">
        <v>164.73978437758541</v>
      </c>
      <c r="AR34" s="100">
        <v>0</v>
      </c>
      <c r="AS34" s="101">
        <v>0</v>
      </c>
      <c r="AT34" s="101">
        <v>0</v>
      </c>
      <c r="AU34" s="101">
        <v>25.73955154017996</v>
      </c>
      <c r="AV34" s="101">
        <v>75.649738813454675</v>
      </c>
      <c r="AW34" s="101">
        <v>32.277188469966497</v>
      </c>
      <c r="AX34" s="101">
        <v>1.951554903871177</v>
      </c>
      <c r="AY34" s="98">
        <v>88.229312951949922</v>
      </c>
      <c r="AZ34" s="100">
        <v>4385.5150488623449</v>
      </c>
      <c r="BA34" s="98"/>
      <c r="BB34" s="102">
        <f t="shared" si="26"/>
        <v>16220.504097704787</v>
      </c>
      <c r="BC34" s="10"/>
      <c r="BD34" s="71">
        <f t="shared" si="19"/>
        <v>37112</v>
      </c>
      <c r="BE34" s="8" t="str">
        <f t="shared" si="19"/>
        <v>Vaarten NOP</v>
      </c>
      <c r="BF34" s="7">
        <f t="shared" si="27"/>
        <v>0.14676297685607845</v>
      </c>
      <c r="BG34" s="7">
        <f t="shared" si="20"/>
        <v>1.1809145181283493E-2</v>
      </c>
      <c r="BH34" s="7">
        <f t="shared" si="20"/>
        <v>0</v>
      </c>
      <c r="BI34" s="7">
        <f t="shared" si="20"/>
        <v>1.1755272582116633E-4</v>
      </c>
      <c r="BJ34" s="7">
        <f t="shared" si="20"/>
        <v>0.10123325476731922</v>
      </c>
      <c r="BK34" s="7">
        <f t="shared" si="20"/>
        <v>5.6017389928603674E-2</v>
      </c>
      <c r="BL34" s="7">
        <f t="shared" si="20"/>
        <v>4.980735507527409E-3</v>
      </c>
      <c r="BM34" s="7">
        <f t="shared" si="20"/>
        <v>0.26941442750978734</v>
      </c>
      <c r="BN34" s="7">
        <f t="shared" si="20"/>
        <v>1.6565614340233622E-2</v>
      </c>
      <c r="BO34" s="7">
        <f t="shared" si="20"/>
        <v>1.2723299870542111E-2</v>
      </c>
      <c r="BP34" s="7">
        <f t="shared" si="20"/>
        <v>7.5126381588591249E-3</v>
      </c>
      <c r="BQ34" s="7">
        <f t="shared" si="20"/>
        <v>0.13723951493919012</v>
      </c>
      <c r="BR34" s="7">
        <f t="shared" si="20"/>
        <v>0</v>
      </c>
      <c r="BS34" s="7">
        <f t="shared" si="20"/>
        <v>0</v>
      </c>
      <c r="BT34" s="7">
        <f t="shared" si="20"/>
        <v>1.6438794864652431E-3</v>
      </c>
      <c r="BU34" s="7">
        <f t="shared" si="20"/>
        <v>4.7054882994787047E-3</v>
      </c>
      <c r="BV34" s="7">
        <f t="shared" si="20"/>
        <v>1.3678507755551855E-3</v>
      </c>
      <c r="BW34" s="7">
        <f t="shared" si="21"/>
        <v>4.2627565581078693E-3</v>
      </c>
      <c r="BX34" s="7">
        <f t="shared" si="21"/>
        <v>4.3090113834466561E-3</v>
      </c>
      <c r="BY34" s="7">
        <f t="shared" si="21"/>
        <v>0.21933446371170068</v>
      </c>
      <c r="BZ34" s="72">
        <f t="shared" si="11"/>
        <v>1</v>
      </c>
      <c r="CA34" s="261">
        <f>SUMPRODUCT(BF34:BY34,$BF$38:$BY$38)</f>
        <v>0.50614153258204542</v>
      </c>
      <c r="CB34" s="74">
        <f t="shared" si="22"/>
        <v>0</v>
      </c>
    </row>
    <row r="35" spans="1:80" x14ac:dyDescent="0.3">
      <c r="A35" s="91">
        <v>37113</v>
      </c>
      <c r="B35" t="s">
        <v>98</v>
      </c>
      <c r="C35" s="88">
        <f t="shared" si="17"/>
        <v>0.70532424229358881</v>
      </c>
      <c r="D35" s="178">
        <f t="shared" si="23"/>
        <v>7.1050260933720091E-2</v>
      </c>
      <c r="E35" s="178">
        <v>0.1</v>
      </c>
      <c r="F35" s="94">
        <v>0.10073418248418245</v>
      </c>
      <c r="G35" s="71">
        <v>851.30838638119121</v>
      </c>
      <c r="H35" s="8">
        <v>11.50514027169528</v>
      </c>
      <c r="I35" s="8">
        <v>0</v>
      </c>
      <c r="J35" s="8">
        <v>0.52907709301213157</v>
      </c>
      <c r="K35" s="8">
        <v>285.35093928143101</v>
      </c>
      <c r="L35" s="8">
        <v>391.604212152419</v>
      </c>
      <c r="M35" s="95">
        <v>71.233016419330781</v>
      </c>
      <c r="N35" s="96">
        <v>2184.2196129800709</v>
      </c>
      <c r="O35" s="71">
        <v>98.010527749999994</v>
      </c>
      <c r="P35" s="8">
        <v>0.16129899892857141</v>
      </c>
      <c r="Q35" s="95">
        <v>38.492910500000001</v>
      </c>
      <c r="R35" s="71">
        <v>326.52857142857141</v>
      </c>
      <c r="S35" s="8">
        <v>0</v>
      </c>
      <c r="T35" s="8">
        <v>0</v>
      </c>
      <c r="U35" s="8">
        <v>6.3912691155000001</v>
      </c>
      <c r="V35" s="8">
        <v>50.418802894999999</v>
      </c>
      <c r="W35" s="8">
        <v>0.41347176549999998</v>
      </c>
      <c r="X35" s="8">
        <v>67.008104973285711</v>
      </c>
      <c r="Y35" s="95">
        <v>13.63695875578572</v>
      </c>
      <c r="Z35" s="97">
        <v>1564.912365329106</v>
      </c>
      <c r="AA35" s="8"/>
      <c r="AB35" s="98">
        <f t="shared" si="24"/>
        <v>8745.2319857165512</v>
      </c>
      <c r="AC35" s="71">
        <f t="shared" si="18"/>
        <v>14706.956651807379</v>
      </c>
      <c r="AD35" s="8">
        <v>3482.6303779600498</v>
      </c>
      <c r="AE35" s="95">
        <f t="shared" si="25"/>
        <v>11224.32627384733</v>
      </c>
      <c r="AF35" s="172" t="s">
        <v>99</v>
      </c>
      <c r="AG35" s="100">
        <v>808.51016120459497</v>
      </c>
      <c r="AH35" s="101">
        <v>36.579225722362182</v>
      </c>
      <c r="AI35" s="101">
        <v>0</v>
      </c>
      <c r="AJ35" s="101">
        <v>1.22990323422173</v>
      </c>
      <c r="AK35" s="101">
        <v>714.36244383940902</v>
      </c>
      <c r="AL35" s="101">
        <v>408.17677658904068</v>
      </c>
      <c r="AM35" s="98">
        <v>607.12490664543702</v>
      </c>
      <c r="AN35" s="101">
        <v>3996.3779542415741</v>
      </c>
      <c r="AO35" s="100">
        <v>267.99381948097857</v>
      </c>
      <c r="AP35" s="101">
        <v>2.4289553541428579</v>
      </c>
      <c r="AQ35" s="98">
        <v>60.705222770007147</v>
      </c>
      <c r="AR35" s="100">
        <v>0</v>
      </c>
      <c r="AS35" s="101">
        <v>0</v>
      </c>
      <c r="AT35" s="101">
        <v>0</v>
      </c>
      <c r="AU35" s="101">
        <v>2.4354978658571431</v>
      </c>
      <c r="AV35" s="101">
        <v>1236.9594797348029</v>
      </c>
      <c r="AW35" s="101">
        <v>424.80831458923518</v>
      </c>
      <c r="AX35" s="101">
        <v>8.5702122172000017</v>
      </c>
      <c r="AY35" s="98">
        <v>123.5206698313746</v>
      </c>
      <c r="AZ35" s="100">
        <v>45.448442396313382</v>
      </c>
      <c r="BA35" s="98"/>
      <c r="BB35" s="102">
        <f t="shared" si="26"/>
        <v>8745.2319857165512</v>
      </c>
      <c r="BC35" s="10"/>
      <c r="BD35" s="71">
        <f t="shared" si="19"/>
        <v>37113</v>
      </c>
      <c r="BE35" s="8" t="str">
        <f t="shared" si="19"/>
        <v>Vaarten hoge afdeling ZOF</v>
      </c>
      <c r="BF35" s="7">
        <f t="shared" si="27"/>
        <v>0.11285941659328999</v>
      </c>
      <c r="BG35" s="7">
        <f t="shared" si="20"/>
        <v>3.2694980431691315E-3</v>
      </c>
      <c r="BH35" s="7">
        <f t="shared" si="20"/>
        <v>0</v>
      </c>
      <c r="BI35" s="7">
        <f t="shared" si="20"/>
        <v>1.196019250534539E-4</v>
      </c>
      <c r="BJ35" s="7">
        <f t="shared" si="20"/>
        <v>6.7975544280806904E-2</v>
      </c>
      <c r="BK35" s="7">
        <f t="shared" si="20"/>
        <v>5.4381134566217161E-2</v>
      </c>
      <c r="BL35" s="7">
        <f t="shared" si="20"/>
        <v>4.612496923225802E-2</v>
      </c>
      <c r="BM35" s="7">
        <f t="shared" si="20"/>
        <v>0.42024993433716917</v>
      </c>
      <c r="BN35" s="7">
        <f t="shared" si="20"/>
        <v>2.4886477596709259E-2</v>
      </c>
      <c r="BO35" s="7">
        <f t="shared" si="20"/>
        <v>1.7612442971014713E-4</v>
      </c>
      <c r="BP35" s="7">
        <f t="shared" si="20"/>
        <v>6.744980325879754E-3</v>
      </c>
      <c r="BQ35" s="7">
        <f t="shared" si="20"/>
        <v>2.22023209260254E-2</v>
      </c>
      <c r="BR35" s="7">
        <f t="shared" si="20"/>
        <v>0</v>
      </c>
      <c r="BS35" s="7">
        <f t="shared" si="20"/>
        <v>0</v>
      </c>
      <c r="BT35" s="7">
        <f t="shared" si="20"/>
        <v>6.0017631045865608E-4</v>
      </c>
      <c r="BU35" s="7">
        <f t="shared" si="20"/>
        <v>8.7535328559739348E-2</v>
      </c>
      <c r="BV35" s="7">
        <f t="shared" si="20"/>
        <v>2.8912969312551721E-2</v>
      </c>
      <c r="BW35" s="7">
        <f t="shared" si="21"/>
        <v>5.1389501567068044E-3</v>
      </c>
      <c r="BX35" s="7">
        <f t="shared" si="21"/>
        <v>9.3260374552273286E-3</v>
      </c>
      <c r="BY35" s="7">
        <f t="shared" si="21"/>
        <v>0.10949653594902774</v>
      </c>
      <c r="BZ35" s="72">
        <f t="shared" si="11"/>
        <v>0.99999999999999989</v>
      </c>
      <c r="CA35" s="261">
        <f t="shared" ref="CA35:CA36" si="29">SUMPRODUCT(BF35:BY35,$BF$37:$BY$37)</f>
        <v>0.70532424229358892</v>
      </c>
      <c r="CB35" s="74">
        <f t="shared" si="22"/>
        <v>0</v>
      </c>
    </row>
    <row r="36" spans="1:80" x14ac:dyDescent="0.3">
      <c r="A36" s="105">
        <v>37114</v>
      </c>
      <c r="B36" s="243" t="s">
        <v>100</v>
      </c>
      <c r="C36" s="107">
        <f t="shared" si="17"/>
        <v>0.54764569882836578</v>
      </c>
      <c r="D36" s="181">
        <f t="shared" si="23"/>
        <v>8.8679118732073542E-2</v>
      </c>
      <c r="E36" s="181">
        <v>0.15</v>
      </c>
      <c r="F36" s="109">
        <v>0.16192790141836924</v>
      </c>
      <c r="G36" s="113">
        <v>504.5286247496793</v>
      </c>
      <c r="H36" s="110">
        <v>10.162406915441981</v>
      </c>
      <c r="I36" s="110">
        <v>0</v>
      </c>
      <c r="J36" s="110">
        <v>0.4436953794851578</v>
      </c>
      <c r="K36" s="110">
        <v>107.9496335048472</v>
      </c>
      <c r="L36" s="110">
        <v>230.65994690701041</v>
      </c>
      <c r="M36" s="111">
        <v>227.53499313676119</v>
      </c>
      <c r="N36" s="112">
        <v>4950.9108487317953</v>
      </c>
      <c r="O36" s="113">
        <v>32.670175917857136</v>
      </c>
      <c r="P36" s="110">
        <v>299.05634588571428</v>
      </c>
      <c r="Q36" s="111">
        <v>28.137419417857139</v>
      </c>
      <c r="R36" s="113">
        <v>7512.4857142857154</v>
      </c>
      <c r="S36" s="110">
        <v>91.071428571428569</v>
      </c>
      <c r="T36" s="110">
        <v>0</v>
      </c>
      <c r="U36" s="110">
        <v>26.459512126785722</v>
      </c>
      <c r="V36" s="110">
        <v>556.44822545714283</v>
      </c>
      <c r="W36" s="110">
        <v>38.730781530000002</v>
      </c>
      <c r="X36" s="110">
        <v>93.356872782928576</v>
      </c>
      <c r="Y36" s="111">
        <v>46.644261848214292</v>
      </c>
      <c r="Z36" s="266">
        <v>930.61069882412687</v>
      </c>
      <c r="AA36" s="110"/>
      <c r="AB36" s="115">
        <f t="shared" si="24"/>
        <v>14586.993786722878</v>
      </c>
      <c r="AC36" s="113">
        <f t="shared" si="18"/>
        <v>30274.855372695667</v>
      </c>
      <c r="AD36" s="110">
        <v>5536.3763257010523</v>
      </c>
      <c r="AE36" s="111">
        <f t="shared" si="25"/>
        <v>24738.479046994617</v>
      </c>
      <c r="AF36" s="182" t="s">
        <v>101</v>
      </c>
      <c r="AG36" s="117">
        <v>2734.465816187073</v>
      </c>
      <c r="AH36" s="118">
        <v>36.221916369581798</v>
      </c>
      <c r="AI36" s="118">
        <v>0</v>
      </c>
      <c r="AJ36" s="118">
        <v>2.283535506498215</v>
      </c>
      <c r="AK36" s="118">
        <v>924.75409820531229</v>
      </c>
      <c r="AL36" s="118">
        <v>1173.7441791581059</v>
      </c>
      <c r="AM36" s="115">
        <v>398.72658999096802</v>
      </c>
      <c r="AN36" s="118">
        <v>5573.0662723636888</v>
      </c>
      <c r="AO36" s="117">
        <v>351.21306276036228</v>
      </c>
      <c r="AP36" s="118">
        <v>11.74361792338016</v>
      </c>
      <c r="AQ36" s="115">
        <v>142.2229587295096</v>
      </c>
      <c r="AR36" s="117">
        <v>51.065396783540983</v>
      </c>
      <c r="AS36" s="118">
        <v>0</v>
      </c>
      <c r="AT36" s="118">
        <v>0</v>
      </c>
      <c r="AU36" s="118">
        <v>7.3860491092904814</v>
      </c>
      <c r="AV36" s="118">
        <v>1228.5302831722311</v>
      </c>
      <c r="AW36" s="118">
        <v>1496.1017486048449</v>
      </c>
      <c r="AX36" s="118">
        <v>12.07751044456208</v>
      </c>
      <c r="AY36" s="115">
        <v>173.99863989217411</v>
      </c>
      <c r="AZ36" s="117">
        <v>269.3921115217538</v>
      </c>
      <c r="BA36" s="115"/>
      <c r="BB36" s="119">
        <f t="shared" si="26"/>
        <v>14586.993786722878</v>
      </c>
      <c r="BC36" s="10"/>
      <c r="BD36" s="113">
        <f t="shared" si="19"/>
        <v>37114</v>
      </c>
      <c r="BE36" s="110" t="str">
        <f t="shared" si="19"/>
        <v>Vaarten Lage afdeling ZOF</v>
      </c>
      <c r="BF36" s="120">
        <f t="shared" si="27"/>
        <v>0.10698628948225931</v>
      </c>
      <c r="BG36" s="120">
        <f t="shared" si="20"/>
        <v>1.532107179836669E-3</v>
      </c>
      <c r="BH36" s="120">
        <f t="shared" si="20"/>
        <v>0</v>
      </c>
      <c r="BI36" s="120">
        <f t="shared" si="20"/>
        <v>9.0082375370916298E-5</v>
      </c>
      <c r="BJ36" s="120">
        <f t="shared" si="20"/>
        <v>3.4110938565920811E-2</v>
      </c>
      <c r="BK36" s="120">
        <f t="shared" si="20"/>
        <v>4.6388466890306679E-2</v>
      </c>
      <c r="BL36" s="120">
        <f t="shared" si="20"/>
        <v>2.0685865396157861E-2</v>
      </c>
      <c r="BM36" s="120">
        <f t="shared" si="20"/>
        <v>0.34761444741985009</v>
      </c>
      <c r="BN36" s="120">
        <f t="shared" si="20"/>
        <v>1.267993633503652E-2</v>
      </c>
      <c r="BO36" s="120">
        <f t="shared" si="20"/>
        <v>1.0265943799995793E-2</v>
      </c>
      <c r="BP36" s="120">
        <f t="shared" si="20"/>
        <v>5.6271244255393406E-3</v>
      </c>
      <c r="BQ36" s="120">
        <f t="shared" si="20"/>
        <v>0.24982947128760466</v>
      </c>
      <c r="BR36" s="120">
        <f t="shared" si="20"/>
        <v>3.008154042366267E-3</v>
      </c>
      <c r="BS36" s="120">
        <f t="shared" si="20"/>
        <v>0</v>
      </c>
      <c r="BT36" s="120">
        <f t="shared" si="20"/>
        <v>1.1179429536301232E-3</v>
      </c>
      <c r="BU36" s="120">
        <f t="shared" si="20"/>
        <v>5.8959109355125543E-2</v>
      </c>
      <c r="BV36" s="120">
        <f t="shared" si="20"/>
        <v>5.0696609818294366E-2</v>
      </c>
      <c r="BW36" s="120">
        <f t="shared" si="21"/>
        <v>3.4825726474842214E-3</v>
      </c>
      <c r="BX36" s="120">
        <f t="shared" si="21"/>
        <v>7.2879919333778929E-3</v>
      </c>
      <c r="BY36" s="120">
        <f t="shared" si="21"/>
        <v>3.9636946091842977E-2</v>
      </c>
      <c r="BZ36" s="121">
        <f t="shared" si="11"/>
        <v>1</v>
      </c>
      <c r="CA36" s="261">
        <f t="shared" si="29"/>
        <v>0.54764569882836578</v>
      </c>
      <c r="CB36" s="74">
        <f t="shared" si="22"/>
        <v>0</v>
      </c>
    </row>
    <row r="37" spans="1:80" x14ac:dyDescent="0.3">
      <c r="B37" t="s">
        <v>117</v>
      </c>
      <c r="G37" s="187">
        <v>0</v>
      </c>
      <c r="H37" s="187">
        <v>0</v>
      </c>
      <c r="I37" s="187">
        <v>1</v>
      </c>
      <c r="J37" s="187">
        <v>1</v>
      </c>
      <c r="K37" s="187">
        <v>1</v>
      </c>
      <c r="L37" s="187">
        <v>1</v>
      </c>
      <c r="M37" s="187">
        <v>1</v>
      </c>
      <c r="N37" s="187">
        <v>1</v>
      </c>
      <c r="O37" s="187">
        <v>0</v>
      </c>
      <c r="P37" s="187">
        <v>0</v>
      </c>
      <c r="Q37" s="187">
        <v>0</v>
      </c>
      <c r="R37" s="187">
        <v>0</v>
      </c>
      <c r="S37" s="187">
        <v>0</v>
      </c>
      <c r="T37" s="187">
        <v>1</v>
      </c>
      <c r="U37" s="187">
        <v>0</v>
      </c>
      <c r="V37" s="187">
        <v>0.6</v>
      </c>
      <c r="W37" s="187">
        <v>1</v>
      </c>
      <c r="X37" s="187">
        <v>0</v>
      </c>
      <c r="Y37" s="187">
        <v>0</v>
      </c>
      <c r="Z37" s="187">
        <v>0.32</v>
      </c>
      <c r="AA37" s="187"/>
      <c r="AB37" s="187"/>
      <c r="AC37" s="187"/>
      <c r="AD37" s="187"/>
      <c r="AE37" s="187"/>
      <c r="AF37" s="187"/>
      <c r="AG37" s="187">
        <v>0</v>
      </c>
      <c r="AH37" s="187">
        <v>0</v>
      </c>
      <c r="AI37" s="187">
        <v>1</v>
      </c>
      <c r="AJ37" s="187">
        <v>1</v>
      </c>
      <c r="AK37" s="187">
        <v>1</v>
      </c>
      <c r="AL37" s="187">
        <v>1</v>
      </c>
      <c r="AM37" s="187">
        <v>1</v>
      </c>
      <c r="AN37" s="187">
        <v>1</v>
      </c>
      <c r="AO37" s="187">
        <v>0</v>
      </c>
      <c r="AP37" s="187">
        <v>0</v>
      </c>
      <c r="AQ37" s="187">
        <v>0</v>
      </c>
      <c r="AR37" s="187">
        <v>0</v>
      </c>
      <c r="AS37" s="187">
        <v>0</v>
      </c>
      <c r="AT37" s="187">
        <v>1</v>
      </c>
      <c r="AU37" s="187">
        <v>0</v>
      </c>
      <c r="AV37" s="187">
        <v>0.6</v>
      </c>
      <c r="AW37" s="187">
        <v>1</v>
      </c>
      <c r="AX37" s="187">
        <v>0</v>
      </c>
      <c r="AY37" s="187">
        <v>0</v>
      </c>
      <c r="AZ37" s="187">
        <v>0.32</v>
      </c>
      <c r="BA37" s="187">
        <v>0</v>
      </c>
      <c r="BB37" s="5"/>
      <c r="BC37" s="5"/>
      <c r="BD37" s="8"/>
      <c r="BE37" s="8"/>
      <c r="BF37" s="187">
        <f>G37</f>
        <v>0</v>
      </c>
      <c r="BG37" s="187">
        <f t="shared" ref="BG37:BV38" si="30">H37</f>
        <v>0</v>
      </c>
      <c r="BH37" s="187">
        <f t="shared" si="30"/>
        <v>1</v>
      </c>
      <c r="BI37" s="187">
        <f t="shared" si="30"/>
        <v>1</v>
      </c>
      <c r="BJ37" s="187">
        <f t="shared" si="30"/>
        <v>1</v>
      </c>
      <c r="BK37" s="187">
        <f t="shared" si="30"/>
        <v>1</v>
      </c>
      <c r="BL37" s="187">
        <f t="shared" si="30"/>
        <v>1</v>
      </c>
      <c r="BM37" s="187">
        <f t="shared" si="30"/>
        <v>1</v>
      </c>
      <c r="BN37" s="187">
        <f t="shared" si="30"/>
        <v>0</v>
      </c>
      <c r="BO37" s="187">
        <f t="shared" si="30"/>
        <v>0</v>
      </c>
      <c r="BP37" s="187">
        <f t="shared" si="30"/>
        <v>0</v>
      </c>
      <c r="BQ37" s="187">
        <f t="shared" si="30"/>
        <v>0</v>
      </c>
      <c r="BR37" s="187">
        <f t="shared" si="30"/>
        <v>0</v>
      </c>
      <c r="BS37" s="187">
        <f t="shared" si="30"/>
        <v>1</v>
      </c>
      <c r="BT37" s="187">
        <f t="shared" si="30"/>
        <v>0</v>
      </c>
      <c r="BU37" s="187">
        <f t="shared" si="30"/>
        <v>0.6</v>
      </c>
      <c r="BV37" s="187">
        <f t="shared" si="30"/>
        <v>1</v>
      </c>
      <c r="BW37" s="187">
        <f t="shared" ref="BW37:BY38" si="31">X37</f>
        <v>0</v>
      </c>
      <c r="BX37" s="187">
        <f t="shared" si="31"/>
        <v>0</v>
      </c>
      <c r="BY37" s="187">
        <f t="shared" si="31"/>
        <v>0.32</v>
      </c>
    </row>
    <row r="38" spans="1:80" x14ac:dyDescent="0.3">
      <c r="G38" s="187">
        <v>0</v>
      </c>
      <c r="H38" s="187">
        <v>0</v>
      </c>
      <c r="I38" s="187">
        <v>1</v>
      </c>
      <c r="J38" s="187">
        <v>1</v>
      </c>
      <c r="K38" s="187">
        <v>1</v>
      </c>
      <c r="L38" s="187">
        <v>1</v>
      </c>
      <c r="M38" s="187">
        <v>1</v>
      </c>
      <c r="N38" s="187">
        <v>1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1</v>
      </c>
      <c r="U38" s="187">
        <v>0</v>
      </c>
      <c r="V38" s="187">
        <v>0.6</v>
      </c>
      <c r="W38" s="187">
        <v>1</v>
      </c>
      <c r="X38" s="187">
        <v>0</v>
      </c>
      <c r="Y38" s="187">
        <v>0</v>
      </c>
      <c r="Z38" s="187">
        <v>0.32</v>
      </c>
      <c r="AA38" s="187"/>
      <c r="AB38" s="187"/>
      <c r="AC38" s="187"/>
      <c r="AD38" s="187"/>
      <c r="AE38" s="187"/>
      <c r="AF38" s="187"/>
      <c r="AG38" s="187">
        <v>0</v>
      </c>
      <c r="AH38" s="187">
        <v>0</v>
      </c>
      <c r="AI38" s="187">
        <v>1</v>
      </c>
      <c r="AJ38" s="187">
        <v>1</v>
      </c>
      <c r="AK38" s="187">
        <v>1</v>
      </c>
      <c r="AL38" s="187">
        <v>1</v>
      </c>
      <c r="AM38" s="187">
        <v>1</v>
      </c>
      <c r="AN38" s="187">
        <v>1</v>
      </c>
      <c r="AO38" s="187">
        <v>0</v>
      </c>
      <c r="AP38" s="187">
        <v>0</v>
      </c>
      <c r="AQ38" s="187">
        <v>0</v>
      </c>
      <c r="AR38" s="187">
        <v>0</v>
      </c>
      <c r="AS38" s="187">
        <v>0</v>
      </c>
      <c r="AT38" s="187">
        <v>1</v>
      </c>
      <c r="AU38" s="187">
        <v>0</v>
      </c>
      <c r="AV38" s="187">
        <v>0.6</v>
      </c>
      <c r="AW38" s="187">
        <v>1</v>
      </c>
      <c r="AX38" s="187">
        <v>0</v>
      </c>
      <c r="AY38" s="187">
        <v>0</v>
      </c>
      <c r="AZ38" s="187">
        <v>0.32</v>
      </c>
      <c r="BA38" s="187">
        <v>0</v>
      </c>
      <c r="BB38" s="5"/>
      <c r="BC38" s="5"/>
      <c r="BD38" s="5"/>
      <c r="BE38" s="5"/>
      <c r="BF38" s="187">
        <f>G38</f>
        <v>0</v>
      </c>
      <c r="BG38" s="187">
        <f t="shared" si="30"/>
        <v>0</v>
      </c>
      <c r="BH38" s="187">
        <f t="shared" si="30"/>
        <v>1</v>
      </c>
      <c r="BI38" s="187">
        <f t="shared" si="30"/>
        <v>1</v>
      </c>
      <c r="BJ38" s="187">
        <f t="shared" si="30"/>
        <v>1</v>
      </c>
      <c r="BK38" s="187">
        <f t="shared" si="30"/>
        <v>1</v>
      </c>
      <c r="BL38" s="187">
        <f t="shared" si="30"/>
        <v>1</v>
      </c>
      <c r="BM38" s="187">
        <f t="shared" si="30"/>
        <v>1</v>
      </c>
      <c r="BN38" s="187">
        <f t="shared" si="30"/>
        <v>0</v>
      </c>
      <c r="BO38" s="187">
        <f t="shared" si="30"/>
        <v>0</v>
      </c>
      <c r="BP38" s="187">
        <f t="shared" si="30"/>
        <v>0</v>
      </c>
      <c r="BQ38" s="187">
        <f t="shared" si="30"/>
        <v>0</v>
      </c>
      <c r="BR38" s="187">
        <f t="shared" si="30"/>
        <v>0</v>
      </c>
      <c r="BS38" s="187">
        <f t="shared" si="30"/>
        <v>1</v>
      </c>
      <c r="BT38" s="187">
        <f t="shared" si="30"/>
        <v>0</v>
      </c>
      <c r="BU38" s="187">
        <f t="shared" si="30"/>
        <v>0.6</v>
      </c>
      <c r="BV38" s="187">
        <f t="shared" si="30"/>
        <v>1</v>
      </c>
      <c r="BW38" s="187">
        <f t="shared" si="31"/>
        <v>0</v>
      </c>
      <c r="BX38" s="187">
        <f t="shared" si="31"/>
        <v>0</v>
      </c>
      <c r="BY38" s="187">
        <f t="shared" si="31"/>
        <v>0.32</v>
      </c>
    </row>
    <row r="39" spans="1:80" x14ac:dyDescent="0.3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80" ht="15" thickBot="1" x14ac:dyDescent="0.35">
      <c r="G40" s="5"/>
      <c r="H40" s="5"/>
      <c r="I40" s="5"/>
      <c r="J40" s="5"/>
      <c r="K40" s="4"/>
      <c r="L40" s="4"/>
      <c r="M40" s="4"/>
      <c r="N40" s="4"/>
      <c r="O40" s="309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80" x14ac:dyDescent="0.3">
      <c r="A41" s="57"/>
      <c r="B41" s="188"/>
      <c r="C41" s="188"/>
      <c r="D41" s="188"/>
      <c r="E41" s="188"/>
      <c r="F41" s="189"/>
      <c r="G41" s="314" t="s">
        <v>118</v>
      </c>
      <c r="H41" s="315"/>
      <c r="I41" s="315"/>
      <c r="J41" s="316"/>
      <c r="K41" s="317" t="s">
        <v>119</v>
      </c>
      <c r="L41" s="318"/>
      <c r="M41" s="318"/>
      <c r="N41" s="318"/>
      <c r="O41" s="318"/>
      <c r="P41" s="318"/>
      <c r="Q41" s="318"/>
      <c r="R41" s="318"/>
      <c r="S41" s="319"/>
      <c r="T41" s="314" t="s">
        <v>120</v>
      </c>
      <c r="U41" s="316"/>
      <c r="V41" s="357" t="s">
        <v>121</v>
      </c>
      <c r="W41" s="358"/>
      <c r="BD41" s="324" t="s">
        <v>195</v>
      </c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6"/>
    </row>
    <row r="42" spans="1:80" ht="36" customHeight="1" x14ac:dyDescent="0.3">
      <c r="A42" s="17" t="s">
        <v>19</v>
      </c>
      <c r="B42" s="190" t="s">
        <v>20</v>
      </c>
      <c r="C42" s="191" t="s">
        <v>123</v>
      </c>
      <c r="D42" s="192"/>
      <c r="E42" s="192"/>
      <c r="F42" s="193" t="s">
        <v>124</v>
      </c>
      <c r="G42" s="194" t="s">
        <v>125</v>
      </c>
      <c r="H42" s="195" t="s">
        <v>126</v>
      </c>
      <c r="I42" s="196" t="s">
        <v>196</v>
      </c>
      <c r="J42" s="195" t="s">
        <v>197</v>
      </c>
      <c r="K42" s="197" t="s">
        <v>129</v>
      </c>
      <c r="L42" s="198" t="s">
        <v>130</v>
      </c>
      <c r="M42" s="198" t="s">
        <v>131</v>
      </c>
      <c r="N42" s="198" t="s">
        <v>132</v>
      </c>
      <c r="O42" s="199" t="s">
        <v>133</v>
      </c>
      <c r="P42" s="198" t="s">
        <v>134</v>
      </c>
      <c r="Q42" s="198" t="s">
        <v>135</v>
      </c>
      <c r="R42" s="198" t="s">
        <v>136</v>
      </c>
      <c r="S42" s="200" t="s">
        <v>137</v>
      </c>
      <c r="T42" s="22" t="s">
        <v>138</v>
      </c>
      <c r="U42" s="201" t="s">
        <v>139</v>
      </c>
      <c r="V42" s="202" t="s">
        <v>140</v>
      </c>
      <c r="W42" s="203" t="s">
        <v>141</v>
      </c>
      <c r="BD42" s="351" t="s">
        <v>142</v>
      </c>
      <c r="BE42" s="352"/>
      <c r="BF42" s="352"/>
      <c r="BG42" s="280" t="s">
        <v>143</v>
      </c>
      <c r="BH42" s="280" t="s">
        <v>27</v>
      </c>
      <c r="BI42" s="280" t="s">
        <v>28</v>
      </c>
      <c r="BJ42" s="280" t="s">
        <v>29</v>
      </c>
      <c r="BK42" s="280" t="s">
        <v>144</v>
      </c>
      <c r="BL42" s="280" t="s">
        <v>145</v>
      </c>
      <c r="BM42" s="280" t="s">
        <v>146</v>
      </c>
      <c r="BN42" s="280" t="s">
        <v>147</v>
      </c>
      <c r="BO42" s="280" t="s">
        <v>36</v>
      </c>
      <c r="BP42" s="280" t="s">
        <v>37</v>
      </c>
      <c r="BQ42" s="280" t="s">
        <v>148</v>
      </c>
      <c r="BR42" s="280" t="s">
        <v>149</v>
      </c>
      <c r="BS42" s="280" t="s">
        <v>44</v>
      </c>
      <c r="BT42" s="281" t="s">
        <v>150</v>
      </c>
    </row>
    <row r="43" spans="1:80" x14ac:dyDescent="0.3">
      <c r="A43" s="91">
        <v>37101</v>
      </c>
      <c r="B43" s="206" t="s">
        <v>75</v>
      </c>
      <c r="C43" s="207" t="s">
        <v>151</v>
      </c>
      <c r="D43" s="208"/>
      <c r="E43" s="208"/>
      <c r="F43" s="209">
        <v>48560579</v>
      </c>
      <c r="G43" s="210">
        <v>2</v>
      </c>
      <c r="H43" s="211">
        <v>0.15</v>
      </c>
      <c r="I43" s="210">
        <v>1.056888888888889</v>
      </c>
      <c r="J43" s="211">
        <v>0.14866666666666664</v>
      </c>
      <c r="K43" s="212">
        <v>3.5266870111054409</v>
      </c>
      <c r="L43" s="213">
        <v>8.2522261246751452</v>
      </c>
      <c r="M43" s="213">
        <v>0</v>
      </c>
      <c r="N43" s="298">
        <v>7.1938245888603217E-2</v>
      </c>
      <c r="O43">
        <v>0</v>
      </c>
      <c r="P43" s="213">
        <v>0</v>
      </c>
      <c r="Q43" s="213">
        <v>0</v>
      </c>
      <c r="R43" s="213">
        <f t="shared" ref="R43:R56" si="32">SUM(K43:Q43)</f>
        <v>11.850851381669189</v>
      </c>
      <c r="S43" s="206"/>
      <c r="T43" s="214">
        <f t="shared" ref="T43:T56" si="33">AE5*1000/(R43*1000000)</f>
        <v>2.4496602170324917</v>
      </c>
      <c r="U43" s="215">
        <f t="shared" ref="U43:U56" si="34">AE23*1000/(R43*1000000)</f>
        <v>0.13970409146387563</v>
      </c>
      <c r="V43" s="216"/>
      <c r="W43" s="215"/>
      <c r="Y43" s="10"/>
      <c r="BD43" s="217">
        <f t="shared" ref="BD43:BE51" si="35">BD5</f>
        <v>37101</v>
      </c>
      <c r="BE43" t="str">
        <f t="shared" si="35"/>
        <v>Tochten ABC1</v>
      </c>
      <c r="BF43" s="204"/>
      <c r="BG43" s="90">
        <f>BF5+BG5</f>
        <v>4.435141000128464E-2</v>
      </c>
      <c r="BH43" s="90">
        <f t="shared" ref="BH43:BM51" si="36">BH5</f>
        <v>4.7198460507955906E-3</v>
      </c>
      <c r="BI43" s="90">
        <f t="shared" si="36"/>
        <v>8.8060277393450001E-5</v>
      </c>
      <c r="BJ43" s="90">
        <f t="shared" si="36"/>
        <v>4.1357778858744622E-2</v>
      </c>
      <c r="BK43" s="90">
        <f t="shared" si="36"/>
        <v>1.2834574582645877E-2</v>
      </c>
      <c r="BL43" s="90">
        <f t="shared" si="36"/>
        <v>9.3938370825397022E-2</v>
      </c>
      <c r="BM43" s="90">
        <f t="shared" si="36"/>
        <v>0.72936689510605235</v>
      </c>
      <c r="BN43" s="90">
        <f>BN5+BO5+BP5</f>
        <v>1.5817183154460547E-2</v>
      </c>
      <c r="BO43" s="90">
        <f t="shared" ref="BO43:BQ51" si="37">BQ5</f>
        <v>0</v>
      </c>
      <c r="BP43" s="90">
        <f t="shared" si="37"/>
        <v>0</v>
      </c>
      <c r="BQ43" s="90">
        <f t="shared" si="37"/>
        <v>5.1438934603063174E-2</v>
      </c>
      <c r="BR43" s="90">
        <f t="shared" ref="BR43:BR51" si="38">BU5</f>
        <v>3.9058428781900967E-3</v>
      </c>
      <c r="BS43" s="90">
        <f t="shared" ref="BS43:BS51" si="39">BY5</f>
        <v>0</v>
      </c>
      <c r="BT43" s="218">
        <f t="shared" ref="BT43:BT51" si="40">BT5+BV5+BW5+BX5</f>
        <v>2.1811036619726366E-3</v>
      </c>
      <c r="BU43" s="90">
        <f>SUM(BG43:BT43)</f>
        <v>1</v>
      </c>
    </row>
    <row r="44" spans="1:80" x14ac:dyDescent="0.3">
      <c r="A44" s="91">
        <v>37102</v>
      </c>
      <c r="B44" s="206" t="s">
        <v>77</v>
      </c>
      <c r="C44" s="207" t="s">
        <v>152</v>
      </c>
      <c r="D44" s="208"/>
      <c r="E44" s="208"/>
      <c r="F44" s="209">
        <v>104548911</v>
      </c>
      <c r="G44" s="210">
        <v>2.4</v>
      </c>
      <c r="H44" s="211">
        <v>0.15</v>
      </c>
      <c r="I44" s="210">
        <v>2.2821505875077301</v>
      </c>
      <c r="J44" s="211">
        <v>0.10603226138940423</v>
      </c>
      <c r="K44" s="219">
        <v>10.902408740445251</v>
      </c>
      <c r="L44" s="220">
        <v>15.196615988899131</v>
      </c>
      <c r="M44" s="220">
        <v>0</v>
      </c>
      <c r="N44" s="220">
        <v>0.14010893946326558</v>
      </c>
      <c r="O44">
        <v>0</v>
      </c>
      <c r="P44" s="220">
        <v>0</v>
      </c>
      <c r="Q44" s="220">
        <v>11.850851381669187</v>
      </c>
      <c r="R44" s="220">
        <f t="shared" si="32"/>
        <v>38.089985050476834</v>
      </c>
      <c r="S44" s="206"/>
      <c r="T44" s="210">
        <f t="shared" si="33"/>
        <v>4.529024660821058</v>
      </c>
      <c r="U44" s="215">
        <f t="shared" si="34"/>
        <v>0.12679781310906932</v>
      </c>
      <c r="V44" s="221"/>
      <c r="W44" s="215"/>
      <c r="BD44" s="217">
        <f t="shared" si="35"/>
        <v>37102</v>
      </c>
      <c r="BE44" t="str">
        <f t="shared" si="35"/>
        <v>Tochten ABC2</v>
      </c>
      <c r="BF44" s="204"/>
      <c r="BG44" s="90">
        <f>BF6+BG6</f>
        <v>8.3312410825981495E-2</v>
      </c>
      <c r="BH44" s="90">
        <f t="shared" si="36"/>
        <v>1.5697709771368428E-2</v>
      </c>
      <c r="BI44" s="90">
        <f t="shared" si="36"/>
        <v>1.1717035727086611E-4</v>
      </c>
      <c r="BJ44" s="90">
        <f t="shared" si="36"/>
        <v>7.9920234390272724E-2</v>
      </c>
      <c r="BK44" s="90">
        <f t="shared" si="36"/>
        <v>4.0932638589554343E-2</v>
      </c>
      <c r="BL44" s="90">
        <f t="shared" si="36"/>
        <v>2.1097635075365235E-2</v>
      </c>
      <c r="BM44" s="90">
        <f t="shared" si="36"/>
        <v>0.69773894921873303</v>
      </c>
      <c r="BN44" s="90">
        <f>BN6+BO6+BP6</f>
        <v>1.3394615469260268E-2</v>
      </c>
      <c r="BO44" s="90">
        <f t="shared" si="37"/>
        <v>0</v>
      </c>
      <c r="BP44" s="90">
        <f t="shared" si="37"/>
        <v>0</v>
      </c>
      <c r="BQ44" s="90">
        <f t="shared" si="37"/>
        <v>4.2928374034800494E-2</v>
      </c>
      <c r="BR44" s="90">
        <f t="shared" si="38"/>
        <v>3.0874076184479226E-3</v>
      </c>
      <c r="BS44" s="90">
        <f t="shared" si="39"/>
        <v>0</v>
      </c>
      <c r="BT44" s="218">
        <f t="shared" si="40"/>
        <v>1.7728546489451948E-3</v>
      </c>
      <c r="BU44" s="90">
        <f t="shared" ref="BU44:BU55" si="41">SUM(BG44:BT44)</f>
        <v>1</v>
      </c>
    </row>
    <row r="45" spans="1:80" x14ac:dyDescent="0.3">
      <c r="A45" s="91">
        <v>37103</v>
      </c>
      <c r="B45" s="206" t="s">
        <v>79</v>
      </c>
      <c r="C45" s="207" t="s">
        <v>153</v>
      </c>
      <c r="D45" s="208"/>
      <c r="E45" s="208"/>
      <c r="F45" s="209">
        <v>76103528</v>
      </c>
      <c r="G45" s="210">
        <v>4</v>
      </c>
      <c r="H45" s="211">
        <v>0.3</v>
      </c>
      <c r="I45" s="210">
        <v>1.28</v>
      </c>
      <c r="J45" s="211">
        <v>0.10583333333333333</v>
      </c>
      <c r="K45" s="219">
        <v>6.7906358168436531</v>
      </c>
      <c r="L45" s="220">
        <v>0.5071554360866547</v>
      </c>
      <c r="M45" s="220">
        <v>0</v>
      </c>
      <c r="N45" s="220">
        <v>4.6215398412230071</v>
      </c>
      <c r="O45">
        <v>0</v>
      </c>
      <c r="P45" s="220">
        <v>0.33417972350230429</v>
      </c>
      <c r="Q45" s="220">
        <v>0</v>
      </c>
      <c r="R45" s="220">
        <f t="shared" si="32"/>
        <v>12.253510817655618</v>
      </c>
      <c r="S45" s="206"/>
      <c r="T45" s="210">
        <f t="shared" si="33"/>
        <v>0.48183781150390836</v>
      </c>
      <c r="U45" s="215">
        <f t="shared" si="34"/>
        <v>0.18107375873174567</v>
      </c>
      <c r="V45" s="221"/>
      <c r="W45" s="215"/>
      <c r="BD45" s="217">
        <f t="shared" si="35"/>
        <v>37103</v>
      </c>
      <c r="BE45" s="10" t="str">
        <f t="shared" si="35"/>
        <v>Tochten DE Almere</v>
      </c>
      <c r="BF45" s="90"/>
      <c r="BG45" s="90">
        <f>BF7+BG7</f>
        <v>7.532494818844046E-2</v>
      </c>
      <c r="BH45" s="90">
        <f t="shared" si="36"/>
        <v>1.7562744591351306E-2</v>
      </c>
      <c r="BI45" s="90">
        <f t="shared" si="36"/>
        <v>4.9756109883397807E-5</v>
      </c>
      <c r="BJ45" s="90">
        <f t="shared" si="36"/>
        <v>9.1878389704636368E-2</v>
      </c>
      <c r="BK45" s="90">
        <f t="shared" si="36"/>
        <v>2.6295056231875207E-2</v>
      </c>
      <c r="BL45" s="90">
        <f t="shared" si="36"/>
        <v>0.18271762073290881</v>
      </c>
      <c r="BM45" s="90">
        <f t="shared" si="36"/>
        <v>9.1411310481453761E-2</v>
      </c>
      <c r="BN45" s="90">
        <f>BN7+BO7+BP7</f>
        <v>1.248065799891775E-2</v>
      </c>
      <c r="BO45" s="90">
        <f t="shared" si="37"/>
        <v>0</v>
      </c>
      <c r="BP45" s="90">
        <f t="shared" si="37"/>
        <v>0</v>
      </c>
      <c r="BQ45" s="90">
        <f t="shared" si="37"/>
        <v>0.18526952118106549</v>
      </c>
      <c r="BR45" s="90">
        <f t="shared" si="38"/>
        <v>0.26926736955157315</v>
      </c>
      <c r="BS45" s="90">
        <f t="shared" si="39"/>
        <v>1.0754055665953999E-2</v>
      </c>
      <c r="BT45" s="218">
        <f t="shared" si="40"/>
        <v>3.6988569561940306E-2</v>
      </c>
      <c r="BU45" s="90">
        <f t="shared" si="41"/>
        <v>0.99999999999999989</v>
      </c>
    </row>
    <row r="46" spans="1:80" x14ac:dyDescent="0.3">
      <c r="A46" s="91">
        <v>37104</v>
      </c>
      <c r="B46" s="206" t="s">
        <v>81</v>
      </c>
      <c r="C46" s="207" t="s">
        <v>153</v>
      </c>
      <c r="D46" s="208"/>
      <c r="E46" s="208"/>
      <c r="F46" s="209">
        <v>96481056</v>
      </c>
      <c r="G46" s="210">
        <v>4</v>
      </c>
      <c r="H46" s="211">
        <v>0.3</v>
      </c>
      <c r="I46" s="210">
        <v>5.8241190476190479</v>
      </c>
      <c r="J46" s="211">
        <v>0.28695238095238096</v>
      </c>
      <c r="K46" s="219">
        <v>6.650090227830133</v>
      </c>
      <c r="L46" s="220">
        <v>3.7560154986981922</v>
      </c>
      <c r="M46" s="220">
        <v>0</v>
      </c>
      <c r="N46" s="220">
        <v>1.8385416004298181</v>
      </c>
      <c r="O46">
        <v>0</v>
      </c>
      <c r="P46" s="220">
        <v>0</v>
      </c>
      <c r="Q46" s="220">
        <v>0</v>
      </c>
      <c r="R46" s="220">
        <f t="shared" si="32"/>
        <v>12.244647326958145</v>
      </c>
      <c r="S46" s="206"/>
      <c r="T46" s="210">
        <f t="shared" si="33"/>
        <v>3.2514858919319529</v>
      </c>
      <c r="U46" s="215">
        <f t="shared" si="34"/>
        <v>0.13856796959847123</v>
      </c>
      <c r="V46" s="221"/>
      <c r="W46" s="215"/>
      <c r="BD46" s="217">
        <f t="shared" si="35"/>
        <v>37104</v>
      </c>
      <c r="BE46" s="10" t="str">
        <f t="shared" si="35"/>
        <v>Tochten DE Zuidlob</v>
      </c>
      <c r="BF46" s="90"/>
      <c r="BG46" s="90">
        <f t="shared" ref="BG46:BG51" si="42">BF8+BG8</f>
        <v>9.9262880952785279E-2</v>
      </c>
      <c r="BH46" s="90">
        <f t="shared" si="36"/>
        <v>3.2281069833952125E-2</v>
      </c>
      <c r="BI46" s="90">
        <f t="shared" si="36"/>
        <v>8.0000247839802981E-5</v>
      </c>
      <c r="BJ46" s="90">
        <f t="shared" si="36"/>
        <v>4.8722819756503818E-2</v>
      </c>
      <c r="BK46" s="90">
        <f t="shared" si="36"/>
        <v>7.3000762570691616E-2</v>
      </c>
      <c r="BL46" s="90">
        <f t="shared" si="36"/>
        <v>4.0590464856148027E-2</v>
      </c>
      <c r="BM46" s="90">
        <f t="shared" si="36"/>
        <v>0.47921428697199703</v>
      </c>
      <c r="BN46" s="90">
        <f t="shared" ref="BN46:BN51" si="43">BN8+BO8+BP8</f>
        <v>2.598210123247522E-2</v>
      </c>
      <c r="BO46" s="90">
        <f t="shared" si="37"/>
        <v>0</v>
      </c>
      <c r="BP46" s="90">
        <f t="shared" si="37"/>
        <v>0</v>
      </c>
      <c r="BQ46" s="90">
        <f t="shared" si="37"/>
        <v>0.10341910038746149</v>
      </c>
      <c r="BR46" s="90">
        <f t="shared" si="38"/>
        <v>9.5342037793653758E-2</v>
      </c>
      <c r="BS46" s="90">
        <f t="shared" si="39"/>
        <v>0</v>
      </c>
      <c r="BT46" s="218">
        <f t="shared" si="40"/>
        <v>2.1044753964921531E-3</v>
      </c>
      <c r="BU46" s="90">
        <f t="shared" si="41"/>
        <v>1.0000000000000004</v>
      </c>
    </row>
    <row r="47" spans="1:80" x14ac:dyDescent="0.3">
      <c r="A47" s="91">
        <v>37105</v>
      </c>
      <c r="B47" s="206" t="s">
        <v>83</v>
      </c>
      <c r="C47" s="207" t="s">
        <v>154</v>
      </c>
      <c r="D47" s="208"/>
      <c r="E47" s="208"/>
      <c r="F47" s="209">
        <v>153247495</v>
      </c>
      <c r="G47" s="210">
        <v>2.5</v>
      </c>
      <c r="H47" s="211">
        <v>0.22</v>
      </c>
      <c r="I47" s="210">
        <v>2.3528538359788365</v>
      </c>
      <c r="J47" s="211">
        <v>0.1618783068783069</v>
      </c>
      <c r="K47" s="219">
        <v>14.765824625363949</v>
      </c>
      <c r="L47" s="220">
        <v>12.7812859450387</v>
      </c>
      <c r="M47" s="220">
        <v>0</v>
      </c>
      <c r="N47" s="220">
        <v>2.1332770944751163</v>
      </c>
      <c r="O47">
        <v>0</v>
      </c>
      <c r="P47" s="220">
        <v>0.2844140719914286</v>
      </c>
      <c r="Q47" s="220">
        <v>1.6170765058096688</v>
      </c>
      <c r="R47" s="220">
        <f t="shared" si="32"/>
        <v>31.581878242678862</v>
      </c>
      <c r="S47" s="206"/>
      <c r="T47" s="210">
        <f t="shared" si="33"/>
        <v>4.0452950629988615</v>
      </c>
      <c r="U47" s="215">
        <f t="shared" si="34"/>
        <v>0.14531765513194142</v>
      </c>
      <c r="V47" s="221"/>
      <c r="W47" s="215"/>
      <c r="BD47" s="217">
        <f t="shared" si="35"/>
        <v>37105</v>
      </c>
      <c r="BE47" s="10" t="str">
        <f t="shared" si="35"/>
        <v>Tochten FGIK</v>
      </c>
      <c r="BF47" s="90"/>
      <c r="BG47" s="90">
        <f t="shared" si="42"/>
        <v>9.838552349570355E-2</v>
      </c>
      <c r="BH47" s="90">
        <f t="shared" si="36"/>
        <v>4.3253168207362101E-2</v>
      </c>
      <c r="BI47" s="90">
        <f t="shared" si="36"/>
        <v>7.3401197649639911E-5</v>
      </c>
      <c r="BJ47" s="90">
        <f t="shared" si="36"/>
        <v>4.1363217440215996E-2</v>
      </c>
      <c r="BK47" s="90">
        <f t="shared" si="36"/>
        <v>6.2001575525908133E-2</v>
      </c>
      <c r="BL47" s="90">
        <f t="shared" si="36"/>
        <v>1.4034165287693327E-2</v>
      </c>
      <c r="BM47" s="90">
        <f t="shared" si="36"/>
        <v>0.64777740686708296</v>
      </c>
      <c r="BN47" s="90">
        <f t="shared" si="43"/>
        <v>1.7584851954633839E-2</v>
      </c>
      <c r="BO47" s="90">
        <f t="shared" si="37"/>
        <v>3.3470323807771894E-4</v>
      </c>
      <c r="BP47" s="90">
        <f t="shared" si="37"/>
        <v>0</v>
      </c>
      <c r="BQ47" s="90">
        <f t="shared" si="37"/>
        <v>2.6663020998607387E-2</v>
      </c>
      <c r="BR47" s="90">
        <f t="shared" si="38"/>
        <v>4.0039026998725413E-2</v>
      </c>
      <c r="BS47" s="90">
        <f t="shared" si="39"/>
        <v>4.5797380866300112E-3</v>
      </c>
      <c r="BT47" s="218">
        <f t="shared" si="40"/>
        <v>3.9102007017099722E-3</v>
      </c>
      <c r="BU47" s="90">
        <f t="shared" si="41"/>
        <v>1</v>
      </c>
    </row>
    <row r="48" spans="1:80" x14ac:dyDescent="0.3">
      <c r="A48" s="91">
        <v>37106</v>
      </c>
      <c r="B48" s="206" t="s">
        <v>85</v>
      </c>
      <c r="C48" s="207" t="s">
        <v>154</v>
      </c>
      <c r="D48" s="208"/>
      <c r="E48" s="208"/>
      <c r="F48" s="209">
        <v>68508287</v>
      </c>
      <c r="G48" s="210">
        <v>2.5</v>
      </c>
      <c r="H48" s="211">
        <v>0.22</v>
      </c>
      <c r="I48" s="210">
        <v>4.0407354497354495</v>
      </c>
      <c r="J48" s="211">
        <v>0.16105820105820107</v>
      </c>
      <c r="K48" s="219">
        <v>8.5687989970279563</v>
      </c>
      <c r="L48" s="220">
        <v>0.3308335473955572</v>
      </c>
      <c r="M48" s="220">
        <v>0</v>
      </c>
      <c r="N48" s="220">
        <v>4.7549060128704329E-2</v>
      </c>
      <c r="O48">
        <v>0</v>
      </c>
      <c r="P48" s="220">
        <v>0</v>
      </c>
      <c r="Q48" s="220">
        <v>0.77652297471890575</v>
      </c>
      <c r="R48" s="220">
        <f t="shared" si="32"/>
        <v>9.7237045792711232</v>
      </c>
      <c r="S48" s="206"/>
      <c r="T48" s="210">
        <f t="shared" si="33"/>
        <v>2.1754214022770242</v>
      </c>
      <c r="U48" s="215">
        <f t="shared" si="34"/>
        <v>9.3759226524683839E-2</v>
      </c>
      <c r="V48" s="221"/>
      <c r="W48" s="215"/>
      <c r="BD48" s="217">
        <f t="shared" si="35"/>
        <v>37106</v>
      </c>
      <c r="BE48" s="10" t="str">
        <f t="shared" si="35"/>
        <v>Tochten FGIK ZUID</v>
      </c>
      <c r="BF48" s="90"/>
      <c r="BG48" s="90">
        <f t="shared" si="42"/>
        <v>0.4061803985160311</v>
      </c>
      <c r="BH48" s="90">
        <f t="shared" si="36"/>
        <v>6.9863022581201834E-2</v>
      </c>
      <c r="BI48" s="90">
        <f t="shared" si="36"/>
        <v>9.0693917105665303E-5</v>
      </c>
      <c r="BJ48" s="90">
        <f t="shared" si="36"/>
        <v>6.0049661072808423E-2</v>
      </c>
      <c r="BK48" s="90">
        <f t="shared" si="36"/>
        <v>0.15114486490359827</v>
      </c>
      <c r="BL48" s="90">
        <f t="shared" si="36"/>
        <v>3.6929575523907285E-2</v>
      </c>
      <c r="BM48" s="90">
        <f t="shared" si="36"/>
        <v>0.16728584931072893</v>
      </c>
      <c r="BN48" s="90">
        <f t="shared" si="43"/>
        <v>5.4751206552021335E-2</v>
      </c>
      <c r="BO48" s="90">
        <f t="shared" si="37"/>
        <v>8.3878611633638367E-4</v>
      </c>
      <c r="BP48" s="90">
        <f t="shared" si="37"/>
        <v>0</v>
      </c>
      <c r="BQ48" s="90">
        <f t="shared" si="37"/>
        <v>3.7908662521652682E-2</v>
      </c>
      <c r="BR48" s="90">
        <f t="shared" si="38"/>
        <v>5.8843531171100345E-3</v>
      </c>
      <c r="BS48" s="90">
        <f t="shared" si="39"/>
        <v>6.2084725148082972E-3</v>
      </c>
      <c r="BT48" s="218">
        <f t="shared" si="40"/>
        <v>2.8644533526893954E-3</v>
      </c>
      <c r="BU48" s="90">
        <f t="shared" si="41"/>
        <v>0.99999999999999956</v>
      </c>
    </row>
    <row r="49" spans="1:73" x14ac:dyDescent="0.3">
      <c r="A49" s="91">
        <v>37107</v>
      </c>
      <c r="B49" s="206" t="s">
        <v>87</v>
      </c>
      <c r="C49" s="207" t="s">
        <v>155</v>
      </c>
      <c r="D49" s="208"/>
      <c r="E49" s="208"/>
      <c r="F49" s="209">
        <v>82260987</v>
      </c>
      <c r="G49" s="210">
        <v>2.4</v>
      </c>
      <c r="H49" s="211">
        <v>0.22</v>
      </c>
      <c r="I49" s="210">
        <v>1.9778571428571428</v>
      </c>
      <c r="J49" s="211">
        <v>7.4732142857142872E-2</v>
      </c>
      <c r="K49" s="219">
        <v>7.101107892004805</v>
      </c>
      <c r="L49" s="220">
        <v>8.7859191894699595</v>
      </c>
      <c r="M49" s="220">
        <v>0</v>
      </c>
      <c r="N49" s="220">
        <v>3.7622742260157806E-2</v>
      </c>
      <c r="O49">
        <v>0</v>
      </c>
      <c r="P49" s="220">
        <v>0</v>
      </c>
      <c r="Q49" s="220">
        <v>14.593357641119646</v>
      </c>
      <c r="R49" s="220">
        <f t="shared" si="32"/>
        <v>30.51800746485457</v>
      </c>
      <c r="S49" s="95"/>
      <c r="T49" s="210">
        <f t="shared" si="33"/>
        <v>5.6546206045585077</v>
      </c>
      <c r="U49" s="215">
        <f t="shared" si="34"/>
        <v>0.11633338670808602</v>
      </c>
      <c r="V49" s="221"/>
      <c r="W49" s="215"/>
      <c r="BD49" s="217">
        <f t="shared" si="35"/>
        <v>37107</v>
      </c>
      <c r="BE49" s="10" t="str">
        <f t="shared" si="35"/>
        <v>Tochten H</v>
      </c>
      <c r="BF49" s="90"/>
      <c r="BG49" s="90">
        <f t="shared" si="42"/>
        <v>7.0416634109014636E-2</v>
      </c>
      <c r="BH49" s="90">
        <f t="shared" si="36"/>
        <v>2.748934149039851E-2</v>
      </c>
      <c r="BI49" s="90">
        <f t="shared" si="36"/>
        <v>5.2942415219275774E-5</v>
      </c>
      <c r="BJ49" s="90">
        <f t="shared" si="36"/>
        <v>2.2508303106869614E-2</v>
      </c>
      <c r="BK49" s="90">
        <f t="shared" si="36"/>
        <v>4.2935987342203295E-2</v>
      </c>
      <c r="BL49" s="90">
        <f t="shared" si="36"/>
        <v>6.4726481019448659E-3</v>
      </c>
      <c r="BM49" s="90">
        <f t="shared" si="36"/>
        <v>0.76549772820562634</v>
      </c>
      <c r="BN49" s="90">
        <f t="shared" si="43"/>
        <v>1.4074370175802972E-2</v>
      </c>
      <c r="BO49" s="90">
        <f t="shared" si="37"/>
        <v>3.0522038063230347E-3</v>
      </c>
      <c r="BP49" s="90">
        <f t="shared" si="37"/>
        <v>0</v>
      </c>
      <c r="BQ49" s="90">
        <f t="shared" si="37"/>
        <v>1.713333855927418E-2</v>
      </c>
      <c r="BR49" s="90">
        <f t="shared" si="38"/>
        <v>5.3862957699696793E-3</v>
      </c>
      <c r="BS49" s="90">
        <f t="shared" si="39"/>
        <v>2.2591603594867306E-2</v>
      </c>
      <c r="BT49" s="218">
        <f t="shared" si="40"/>
        <v>2.3886033224864468E-3</v>
      </c>
      <c r="BU49" s="90">
        <f t="shared" si="41"/>
        <v>1</v>
      </c>
    </row>
    <row r="50" spans="1:73" x14ac:dyDescent="0.3">
      <c r="A50" s="91">
        <v>37108</v>
      </c>
      <c r="B50" s="206" t="s">
        <v>156</v>
      </c>
      <c r="C50" s="207" t="s">
        <v>157</v>
      </c>
      <c r="D50" s="208"/>
      <c r="E50" s="208"/>
      <c r="F50" s="209">
        <v>124006221</v>
      </c>
      <c r="G50" s="210">
        <v>5</v>
      </c>
      <c r="H50" s="211">
        <v>0.27</v>
      </c>
      <c r="I50" s="210">
        <v>6.4076987577639741</v>
      </c>
      <c r="J50" s="211">
        <v>0.27234998274672184</v>
      </c>
      <c r="K50" s="219">
        <v>17.477329881684959</v>
      </c>
      <c r="L50" s="220">
        <v>6.8737323656524429</v>
      </c>
      <c r="M50" s="220">
        <v>0</v>
      </c>
      <c r="N50" s="220">
        <v>1.3730996085899252</v>
      </c>
      <c r="O50">
        <v>0</v>
      </c>
      <c r="P50" s="220">
        <v>0.13714285714285709</v>
      </c>
      <c r="Q50" s="220">
        <v>0</v>
      </c>
      <c r="R50" s="220">
        <f t="shared" si="32"/>
        <v>25.861304713070187</v>
      </c>
      <c r="S50" s="206"/>
      <c r="T50" s="210">
        <f t="shared" si="33"/>
        <v>5.8819593098354073</v>
      </c>
      <c r="U50" s="215">
        <f t="shared" si="34"/>
        <v>0.12042443386782703</v>
      </c>
      <c r="V50" s="221"/>
      <c r="W50" s="215"/>
      <c r="BD50" s="217">
        <f t="shared" si="35"/>
        <v>37108</v>
      </c>
      <c r="BE50" s="10" t="str">
        <f t="shared" si="35"/>
        <v>Tochten J</v>
      </c>
      <c r="BF50" s="90"/>
      <c r="BG50" s="90">
        <f t="shared" si="42"/>
        <v>0.15648357959260167</v>
      </c>
      <c r="BH50" s="90">
        <f t="shared" si="36"/>
        <v>3.610266275846237E-2</v>
      </c>
      <c r="BI50" s="90">
        <f t="shared" si="36"/>
        <v>1.5296160920494744E-4</v>
      </c>
      <c r="BJ50" s="90">
        <f t="shared" si="36"/>
        <v>8.8503811241507815E-2</v>
      </c>
      <c r="BK50" s="90">
        <f t="shared" si="36"/>
        <v>4.9471721321619207E-2</v>
      </c>
      <c r="BL50" s="90">
        <f t="shared" si="36"/>
        <v>1.6945169161105351E-2</v>
      </c>
      <c r="BM50" s="90">
        <f t="shared" si="36"/>
        <v>0.57804720554247857</v>
      </c>
      <c r="BN50" s="90">
        <f t="shared" si="43"/>
        <v>1.5096991088399821E-2</v>
      </c>
      <c r="BO50" s="90">
        <f t="shared" si="37"/>
        <v>0</v>
      </c>
      <c r="BP50" s="90">
        <f t="shared" si="37"/>
        <v>0</v>
      </c>
      <c r="BQ50" s="90">
        <f t="shared" si="37"/>
        <v>2.9280065680431861E-2</v>
      </c>
      <c r="BR50" s="90">
        <f t="shared" si="38"/>
        <v>2.5705589197692783E-2</v>
      </c>
      <c r="BS50" s="90">
        <f t="shared" si="39"/>
        <v>1.2933733122509562E-3</v>
      </c>
      <c r="BT50" s="218">
        <f t="shared" si="40"/>
        <v>2.9168694942448819E-3</v>
      </c>
      <c r="BU50" s="90">
        <f t="shared" si="41"/>
        <v>1.0000000000000002</v>
      </c>
    </row>
    <row r="51" spans="1:73" x14ac:dyDescent="0.3">
      <c r="A51" s="91">
        <v>37109</v>
      </c>
      <c r="B51" s="206" t="s">
        <v>91</v>
      </c>
      <c r="C51" s="207" t="s">
        <v>158</v>
      </c>
      <c r="D51" s="208"/>
      <c r="E51" s="208"/>
      <c r="F51" s="209">
        <v>365755051</v>
      </c>
      <c r="G51" s="210">
        <v>3.5</v>
      </c>
      <c r="H51" s="211">
        <v>0.22</v>
      </c>
      <c r="I51" s="210">
        <v>4.1476813492063496</v>
      </c>
      <c r="J51" s="211">
        <v>0.13851230158730157</v>
      </c>
      <c r="K51" s="219">
        <v>49.276662337317603</v>
      </c>
      <c r="L51" s="220">
        <v>20.220699705881938</v>
      </c>
      <c r="M51" s="220">
        <v>0</v>
      </c>
      <c r="N51" s="220">
        <v>0.30881770044623141</v>
      </c>
      <c r="O51">
        <v>0</v>
      </c>
      <c r="P51" s="220">
        <v>51.417866660428558</v>
      </c>
      <c r="Q51" s="220">
        <v>3.0784141985179514</v>
      </c>
      <c r="R51" s="220">
        <f t="shared" si="32"/>
        <v>124.30246060259228</v>
      </c>
      <c r="S51" s="206"/>
      <c r="T51" s="210">
        <f t="shared" si="33"/>
        <v>3.6427683860732309</v>
      </c>
      <c r="U51" s="215">
        <f t="shared" si="34"/>
        <v>0.11011044248266455</v>
      </c>
      <c r="V51" s="221"/>
      <c r="W51" s="215"/>
      <c r="BD51" s="217">
        <f t="shared" si="35"/>
        <v>37109</v>
      </c>
      <c r="BE51" s="10" t="str">
        <f t="shared" si="35"/>
        <v>Tochten lage afdeling NOP</v>
      </c>
      <c r="BF51" s="90"/>
      <c r="BG51" s="90">
        <f t="shared" si="42"/>
        <v>0.2521070677081052</v>
      </c>
      <c r="BH51" s="90">
        <f t="shared" si="36"/>
        <v>2.6394057429550404E-2</v>
      </c>
      <c r="BI51" s="90">
        <f t="shared" si="36"/>
        <v>2.7406272202770379E-4</v>
      </c>
      <c r="BJ51" s="90">
        <f t="shared" si="36"/>
        <v>0.14315363111452345</v>
      </c>
      <c r="BK51" s="90">
        <f t="shared" si="36"/>
        <v>7.0410860930770106E-2</v>
      </c>
      <c r="BL51" s="90">
        <f t="shared" si="36"/>
        <v>6.1430696356036055E-3</v>
      </c>
      <c r="BM51" s="90">
        <f t="shared" si="36"/>
        <v>0.2236119257959531</v>
      </c>
      <c r="BN51" s="90">
        <f t="shared" si="43"/>
        <v>2.5958287526079156E-2</v>
      </c>
      <c r="BO51" s="90">
        <f t="shared" si="37"/>
        <v>0</v>
      </c>
      <c r="BP51" s="90">
        <f t="shared" si="37"/>
        <v>0</v>
      </c>
      <c r="BQ51" s="90">
        <f t="shared" si="37"/>
        <v>1.4080129839109655E-2</v>
      </c>
      <c r="BR51" s="90">
        <f t="shared" si="38"/>
        <v>1.9540928881151467E-3</v>
      </c>
      <c r="BS51" s="90">
        <f t="shared" si="39"/>
        <v>0.233493245678531</v>
      </c>
      <c r="BT51" s="218">
        <f t="shared" si="40"/>
        <v>2.4195687316314451E-3</v>
      </c>
      <c r="BU51" s="90">
        <f t="shared" si="41"/>
        <v>1</v>
      </c>
    </row>
    <row r="52" spans="1:73" x14ac:dyDescent="0.3">
      <c r="A52" s="91">
        <v>37110</v>
      </c>
      <c r="B52" s="206" t="s">
        <v>93</v>
      </c>
      <c r="C52" s="207" t="s">
        <v>159</v>
      </c>
      <c r="D52" s="208"/>
      <c r="E52" s="208"/>
      <c r="F52" s="209">
        <v>69707994</v>
      </c>
      <c r="G52" s="210">
        <v>9</v>
      </c>
      <c r="H52" s="211">
        <v>2</v>
      </c>
      <c r="I52" s="210">
        <v>0</v>
      </c>
      <c r="J52" s="211">
        <v>0</v>
      </c>
      <c r="K52" s="219">
        <v>2.3557288609705811</v>
      </c>
      <c r="L52" s="220">
        <v>3.450483744196594E-2</v>
      </c>
      <c r="M52" s="220">
        <v>0</v>
      </c>
      <c r="N52" s="220">
        <v>1.8285407133243361</v>
      </c>
      <c r="O52">
        <v>0</v>
      </c>
      <c r="P52" s="220">
        <v>0</v>
      </c>
      <c r="Q52" s="220">
        <v>0</v>
      </c>
      <c r="R52" s="220">
        <f t="shared" si="32"/>
        <v>4.2187744117368835</v>
      </c>
      <c r="S52" s="206"/>
      <c r="T52" s="210">
        <f t="shared" si="33"/>
        <v>0.8041424359231848</v>
      </c>
      <c r="U52" s="215">
        <f t="shared" si="34"/>
        <v>0.4397371020233875</v>
      </c>
      <c r="V52" s="221"/>
      <c r="W52" s="215"/>
      <c r="BD52" s="217">
        <f t="shared" ref="BD52:BE55" si="44">BD15</f>
        <v>37111</v>
      </c>
      <c r="BE52" s="10" t="str">
        <f t="shared" si="44"/>
        <v>Tochten hoge afdeling NOP</v>
      </c>
      <c r="BF52" s="90"/>
      <c r="BG52" s="90">
        <f>BF15+BG15</f>
        <v>0.17401042440149009</v>
      </c>
      <c r="BH52" s="90">
        <f t="shared" ref="BH52:BM55" si="45">BH15</f>
        <v>2.7911946030178728E-2</v>
      </c>
      <c r="BI52" s="90">
        <f t="shared" si="45"/>
        <v>2.8973391043301633E-4</v>
      </c>
      <c r="BJ52" s="90">
        <f t="shared" si="45"/>
        <v>7.5584371739782871E-2</v>
      </c>
      <c r="BK52" s="90">
        <f t="shared" si="45"/>
        <v>3.8774351229232125E-2</v>
      </c>
      <c r="BL52" s="90">
        <f t="shared" si="45"/>
        <v>4.4249651536209956E-3</v>
      </c>
      <c r="BM52" s="90">
        <f t="shared" si="45"/>
        <v>0.22519973655290107</v>
      </c>
      <c r="BN52" s="90">
        <f>BN15+BO15+BP15</f>
        <v>2.8488038846873197E-2</v>
      </c>
      <c r="BO52" s="90">
        <f t="shared" ref="BO52:BQ55" si="46">BQ15</f>
        <v>0</v>
      </c>
      <c r="BP52" s="90">
        <f t="shared" si="46"/>
        <v>0</v>
      </c>
      <c r="BQ52" s="90">
        <f t="shared" si="46"/>
        <v>2.1488500471764871E-2</v>
      </c>
      <c r="BR52" s="90">
        <f>BU15</f>
        <v>4.8896210251154267E-4</v>
      </c>
      <c r="BS52" s="90">
        <f>BY15</f>
        <v>0.40192505846771776</v>
      </c>
      <c r="BT52" s="218">
        <f>BT15+BV15+BW15+BX15</f>
        <v>1.4139110934938135E-3</v>
      </c>
      <c r="BU52" s="90">
        <f t="shared" si="41"/>
        <v>1.0000000000000002</v>
      </c>
    </row>
    <row r="53" spans="1:73" x14ac:dyDescent="0.3">
      <c r="A53" s="91">
        <v>37111</v>
      </c>
      <c r="B53" s="206" t="s">
        <v>94</v>
      </c>
      <c r="C53" s="207" t="s">
        <v>160</v>
      </c>
      <c r="D53" s="208"/>
      <c r="E53" s="208"/>
      <c r="F53" s="209">
        <v>83657293</v>
      </c>
      <c r="G53" s="210">
        <v>3</v>
      </c>
      <c r="H53" s="211">
        <v>0.22</v>
      </c>
      <c r="I53" s="210">
        <v>3.252089490968801</v>
      </c>
      <c r="J53" s="211">
        <v>0.14054022988505746</v>
      </c>
      <c r="K53" s="219">
        <v>9.732819555637759</v>
      </c>
      <c r="L53" s="220">
        <v>5.4986937313747433</v>
      </c>
      <c r="M53" s="220">
        <v>0</v>
      </c>
      <c r="N53" s="220">
        <v>1.938575002615241E-2</v>
      </c>
      <c r="O53">
        <v>0</v>
      </c>
      <c r="P53" s="220">
        <v>23.143886064238583</v>
      </c>
      <c r="Q53" s="220">
        <v>0.44519598473498029</v>
      </c>
      <c r="R53" s="220">
        <f t="shared" si="32"/>
        <v>38.839981086012216</v>
      </c>
      <c r="S53" s="206"/>
      <c r="T53" s="210">
        <f t="shared" si="33"/>
        <v>3.1792422854937699</v>
      </c>
      <c r="U53" s="215">
        <f t="shared" si="34"/>
        <v>9.1781375101589416E-2</v>
      </c>
      <c r="V53" s="221"/>
      <c r="W53" s="215"/>
      <c r="BD53" s="217">
        <f t="shared" si="44"/>
        <v>37112</v>
      </c>
      <c r="BE53" s="10" t="str">
        <f t="shared" si="44"/>
        <v>Vaarten NOP</v>
      </c>
      <c r="BF53" s="90"/>
      <c r="BG53" s="90">
        <f>BF16+BG16</f>
        <v>0.19620893240554765</v>
      </c>
      <c r="BH53" s="90">
        <f t="shared" si="45"/>
        <v>2.2318948754310057E-2</v>
      </c>
      <c r="BI53" s="90">
        <f t="shared" si="45"/>
        <v>2.2666421242702891E-4</v>
      </c>
      <c r="BJ53" s="90">
        <f t="shared" si="45"/>
        <v>0.10800703013538865</v>
      </c>
      <c r="BK53" s="90">
        <f t="shared" si="45"/>
        <v>5.4955869703929842E-2</v>
      </c>
      <c r="BL53" s="90">
        <f t="shared" si="45"/>
        <v>6.0007524322331415E-3</v>
      </c>
      <c r="BM53" s="90">
        <f t="shared" si="45"/>
        <v>0.29702905257705187</v>
      </c>
      <c r="BN53" s="90">
        <f>BN16+BO16+BP16</f>
        <v>2.1757626518693625E-2</v>
      </c>
      <c r="BO53" s="90">
        <f t="shared" si="46"/>
        <v>2.7930029774209334E-2</v>
      </c>
      <c r="BP53" s="90">
        <f t="shared" si="46"/>
        <v>0</v>
      </c>
      <c r="BQ53" s="90">
        <f t="shared" si="46"/>
        <v>1.4265519684343343E-2</v>
      </c>
      <c r="BR53" s="90">
        <f>BU16</f>
        <v>1.7042204111456501E-3</v>
      </c>
      <c r="BS53" s="90">
        <f>BY16</f>
        <v>0.24671412417571534</v>
      </c>
      <c r="BT53" s="218">
        <f>BT16+BV16+BW16+BX16</f>
        <v>2.8812292150045393E-3</v>
      </c>
      <c r="BU53" s="90">
        <f t="shared" si="41"/>
        <v>1</v>
      </c>
    </row>
    <row r="54" spans="1:73" x14ac:dyDescent="0.3">
      <c r="A54" s="91">
        <v>37112</v>
      </c>
      <c r="B54" s="206" t="s">
        <v>96</v>
      </c>
      <c r="C54" s="207" t="s">
        <v>161</v>
      </c>
      <c r="D54" s="208"/>
      <c r="E54" s="208"/>
      <c r="F54" s="209">
        <v>30272793</v>
      </c>
      <c r="G54" s="210">
        <v>3.8</v>
      </c>
      <c r="H54" s="211">
        <v>0.15</v>
      </c>
      <c r="I54" s="210">
        <v>3.3302281746031746</v>
      </c>
      <c r="J54" s="211">
        <v>0.11649801587301586</v>
      </c>
      <c r="K54" s="219">
        <v>2.4058837677206917</v>
      </c>
      <c r="L54" s="220">
        <v>13.4413732520529</v>
      </c>
      <c r="M54" s="220">
        <v>2.3324595320000001</v>
      </c>
      <c r="N54" s="220">
        <v>6.7303025995431906E-2</v>
      </c>
      <c r="O54">
        <v>0</v>
      </c>
      <c r="P54" s="220">
        <v>10.73727904092628</v>
      </c>
      <c r="Q54" s="220">
        <v>152.1587104418515</v>
      </c>
      <c r="R54" s="220">
        <f t="shared" si="32"/>
        <v>181.1430090605468</v>
      </c>
      <c r="S54" s="222">
        <f>R54*1</f>
        <v>181.1430090605468</v>
      </c>
      <c r="T54" s="210">
        <f t="shared" si="33"/>
        <v>3.6172433108189734</v>
      </c>
      <c r="U54" s="215">
        <f t="shared" si="34"/>
        <v>0.10737819950232542</v>
      </c>
      <c r="V54" s="223">
        <f>AB16/1000</f>
        <v>540.79537451342446</v>
      </c>
      <c r="W54" s="224">
        <f>AE34/1000</f>
        <v>19.450810165354937</v>
      </c>
      <c r="BD54" s="217">
        <f t="shared" si="44"/>
        <v>37113</v>
      </c>
      <c r="BE54" s="10" t="str">
        <f t="shared" si="44"/>
        <v>Vaarten hoge afdeling ZOF</v>
      </c>
      <c r="BF54" s="90"/>
      <c r="BG54" s="90">
        <f>BF17+BG17</f>
        <v>6.54528057726248E-2</v>
      </c>
      <c r="BH54" s="90">
        <f t="shared" si="45"/>
        <v>1.9104766902282088E-2</v>
      </c>
      <c r="BI54" s="90">
        <f t="shared" si="45"/>
        <v>7.450042141484617E-5</v>
      </c>
      <c r="BJ54" s="90">
        <f t="shared" si="45"/>
        <v>5.5376828573853662E-2</v>
      </c>
      <c r="BK54" s="90">
        <f t="shared" si="45"/>
        <v>3.9089423899377765E-2</v>
      </c>
      <c r="BL54" s="90">
        <f t="shared" si="45"/>
        <v>1.9839126909736441E-2</v>
      </c>
      <c r="BM54" s="90">
        <f t="shared" si="45"/>
        <v>0.64118485275962644</v>
      </c>
      <c r="BN54" s="90">
        <f>BN17+BO17+BP17</f>
        <v>1.2725371032914311E-2</v>
      </c>
      <c r="BO54" s="90">
        <f t="shared" si="46"/>
        <v>1.066705610895663E-2</v>
      </c>
      <c r="BP54" s="90">
        <f t="shared" si="46"/>
        <v>0</v>
      </c>
      <c r="BQ54" s="90">
        <f t="shared" si="46"/>
        <v>3.8629386350458685E-2</v>
      </c>
      <c r="BR54" s="90">
        <f>BU17</f>
        <v>1.6309387141247633E-2</v>
      </c>
      <c r="BS54" s="90">
        <f>BY17</f>
        <v>7.866401665307092E-2</v>
      </c>
      <c r="BT54" s="218">
        <f>BT17+BV17+BW17+BX17</f>
        <v>2.8824774744357941E-3</v>
      </c>
      <c r="BU54" s="90">
        <f t="shared" si="41"/>
        <v>1</v>
      </c>
    </row>
    <row r="55" spans="1:73" x14ac:dyDescent="0.3">
      <c r="A55" s="91">
        <v>37113</v>
      </c>
      <c r="B55" s="206" t="s">
        <v>98</v>
      </c>
      <c r="C55" s="207" t="s">
        <v>162</v>
      </c>
      <c r="D55" s="208"/>
      <c r="E55" s="208"/>
      <c r="F55" s="209">
        <v>62900908</v>
      </c>
      <c r="G55" s="210">
        <v>2.5</v>
      </c>
      <c r="H55" s="211">
        <v>0.1</v>
      </c>
      <c r="I55" s="210">
        <v>2.2019264069264071</v>
      </c>
      <c r="J55" s="211">
        <v>0.10073418248418245</v>
      </c>
      <c r="K55" s="219">
        <v>6.2453682319109145</v>
      </c>
      <c r="L55" s="220">
        <v>10.9739539714201</v>
      </c>
      <c r="M55" s="220">
        <v>0.80296419168571431</v>
      </c>
      <c r="N55" s="220">
        <v>0.11213109825581399</v>
      </c>
      <c r="O55">
        <v>0</v>
      </c>
      <c r="P55" s="220">
        <v>15.085680362812091</v>
      </c>
      <c r="Q55" s="220">
        <v>62.588143195090588</v>
      </c>
      <c r="R55" s="220">
        <f t="shared" si="32"/>
        <v>95.80824105117523</v>
      </c>
      <c r="S55" s="222">
        <f>R55*(1-0.14)</f>
        <v>82.395087304010701</v>
      </c>
      <c r="T55" s="210">
        <f t="shared" si="33"/>
        <v>3.614404336631504</v>
      </c>
      <c r="U55" s="215">
        <f t="shared" si="34"/>
        <v>0.11715407934325757</v>
      </c>
      <c r="V55" s="223">
        <f>AE17/1000*(1-0.14)</f>
        <v>297.8091608687476</v>
      </c>
      <c r="W55" s="224">
        <f>AE35/1000*(1-0.14)</f>
        <v>9.6529205955087036</v>
      </c>
      <c r="BD55" s="217">
        <f t="shared" si="44"/>
        <v>37114</v>
      </c>
      <c r="BE55" s="10" t="str">
        <f t="shared" si="44"/>
        <v>Vaarten Lage afdeling ZOF</v>
      </c>
      <c r="BF55" s="90"/>
      <c r="BG55" s="90">
        <f>BF18+BG18</f>
        <v>7.4064903897888335E-2</v>
      </c>
      <c r="BH55" s="90">
        <f t="shared" si="45"/>
        <v>2.2773744703651171E-2</v>
      </c>
      <c r="BI55" s="90">
        <f t="shared" si="45"/>
        <v>5.9129599802038463E-5</v>
      </c>
      <c r="BJ55" s="90">
        <f t="shared" si="45"/>
        <v>3.1034585667162818E-2</v>
      </c>
      <c r="BK55" s="90">
        <f t="shared" si="45"/>
        <v>3.5322818348049352E-2</v>
      </c>
      <c r="BL55" s="90">
        <f t="shared" si="45"/>
        <v>1.3431604371946286E-2</v>
      </c>
      <c r="BM55" s="90">
        <f t="shared" si="45"/>
        <v>0.67832974338058316</v>
      </c>
      <c r="BN55" s="90">
        <f>BN18+BO18+BP18</f>
        <v>1.338562650667784E-2</v>
      </c>
      <c r="BO55" s="90">
        <f t="shared" si="46"/>
        <v>5.8577150532875315E-2</v>
      </c>
      <c r="BP55" s="90">
        <f t="shared" si="46"/>
        <v>8.5489811215482133E-4</v>
      </c>
      <c r="BQ55" s="90">
        <f t="shared" si="46"/>
        <v>2.1902304631247295E-2</v>
      </c>
      <c r="BR55" s="90">
        <f>BU18</f>
        <v>1.8035421861510727E-2</v>
      </c>
      <c r="BS55" s="90">
        <f>BY18</f>
        <v>2.8724241285295549E-2</v>
      </c>
      <c r="BT55" s="218">
        <f>BT18+BV18+BW18+BX18</f>
        <v>3.5038271011554774E-3</v>
      </c>
      <c r="BU55" s="90">
        <f t="shared" si="41"/>
        <v>1</v>
      </c>
    </row>
    <row r="56" spans="1:73" ht="15" thickBot="1" x14ac:dyDescent="0.35">
      <c r="A56" s="91">
        <v>37114</v>
      </c>
      <c r="B56" s="206" t="s">
        <v>100</v>
      </c>
      <c r="C56" s="207" t="s">
        <v>163</v>
      </c>
      <c r="D56" s="208"/>
      <c r="E56" s="208"/>
      <c r="F56" s="209">
        <v>86931051</v>
      </c>
      <c r="G56" s="210">
        <v>3.8</v>
      </c>
      <c r="H56" s="211">
        <v>0.15</v>
      </c>
      <c r="I56" s="210">
        <v>3.072715184852775</v>
      </c>
      <c r="J56" s="211">
        <v>0.16192790141836924</v>
      </c>
      <c r="K56" s="219">
        <v>5.7729133675241222</v>
      </c>
      <c r="L56" s="220">
        <v>19.563741941669473</v>
      </c>
      <c r="M56" s="220">
        <v>9.1440875399999992</v>
      </c>
      <c r="N56" s="220">
        <v>1.3366651724044851</v>
      </c>
      <c r="O56" s="299">
        <v>0.4231225714285714</v>
      </c>
      <c r="P56" s="220">
        <v>7.5080908762200016</v>
      </c>
      <c r="Q56" s="220">
        <v>106.73623266224234</v>
      </c>
      <c r="R56" s="220">
        <f t="shared" si="32"/>
        <v>150.48485413148899</v>
      </c>
      <c r="S56" s="222">
        <f>R56*1</f>
        <v>150.48485413148899</v>
      </c>
      <c r="T56" s="210">
        <f t="shared" si="33"/>
        <v>5.3387546186711852</v>
      </c>
      <c r="U56" s="215">
        <f t="shared" si="34"/>
        <v>0.16439181995936217</v>
      </c>
      <c r="V56" s="229">
        <f>AB18/1000</f>
        <v>494.45340013106585</v>
      </c>
      <c r="W56" s="230">
        <f>AE36/1000</f>
        <v>24.738479046994616</v>
      </c>
      <c r="BD56" s="225"/>
      <c r="BE56" s="226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8"/>
    </row>
    <row r="57" spans="1:73" x14ac:dyDescent="0.3">
      <c r="A57" s="57">
        <v>37113</v>
      </c>
      <c r="B57" s="188" t="s">
        <v>164</v>
      </c>
      <c r="C57" s="231"/>
      <c r="D57" s="232"/>
      <c r="E57" s="232"/>
      <c r="F57" s="233"/>
      <c r="G57" s="216"/>
      <c r="H57" s="234"/>
      <c r="I57" s="214"/>
      <c r="J57" s="235"/>
      <c r="K57" s="212"/>
      <c r="L57" s="213"/>
      <c r="M57" s="213"/>
      <c r="N57" s="213"/>
      <c r="P57" s="213"/>
      <c r="Q57" s="213"/>
      <c r="R57" s="213"/>
      <c r="S57" s="236">
        <f>R55-S55</f>
        <v>13.413153747164529</v>
      </c>
      <c r="T57" s="214"/>
      <c r="U57" s="235"/>
    </row>
    <row r="58" spans="1:73" ht="15" thickBot="1" x14ac:dyDescent="0.35">
      <c r="A58" s="91" t="s">
        <v>103</v>
      </c>
      <c r="B58" t="s">
        <v>165</v>
      </c>
      <c r="C58" s="92"/>
      <c r="F58" s="237">
        <f>F51+F53+F54</f>
        <v>479685137</v>
      </c>
      <c r="G58" s="92"/>
      <c r="J58" s="206"/>
      <c r="K58" s="238">
        <f t="shared" ref="K58:O58" si="47">K51+K53+K54</f>
        <v>61.415365660676059</v>
      </c>
      <c r="L58" s="239"/>
      <c r="M58" s="239">
        <f t="shared" si="47"/>
        <v>2.3324595320000001</v>
      </c>
      <c r="N58" s="239">
        <f t="shared" si="47"/>
        <v>0.39550647646781573</v>
      </c>
      <c r="O58" s="239">
        <f t="shared" si="47"/>
        <v>0</v>
      </c>
      <c r="P58" s="239">
        <f>P51+P53+P54</f>
        <v>85.299031765593426</v>
      </c>
      <c r="Q58" s="239">
        <f>Q51+Q53+Q54</f>
        <v>155.68232062510444</v>
      </c>
      <c r="R58" s="239">
        <f>R51+R53+R54</f>
        <v>344.28545074915132</v>
      </c>
      <c r="S58" s="240"/>
      <c r="T58" s="241"/>
      <c r="U58" s="242"/>
    </row>
    <row r="59" spans="1:73" x14ac:dyDescent="0.3">
      <c r="A59" s="105" t="s">
        <v>166</v>
      </c>
      <c r="B59" s="243" t="s">
        <v>165</v>
      </c>
      <c r="C59" s="106"/>
      <c r="D59" s="243"/>
      <c r="E59" s="243"/>
      <c r="F59" s="244">
        <f>SUM(F43:F50)+F55+F56</f>
        <v>903549023</v>
      </c>
      <c r="G59" s="106"/>
      <c r="H59" s="243"/>
      <c r="I59" s="243"/>
      <c r="J59" s="245"/>
      <c r="K59" s="246">
        <f t="shared" ref="K59:N59" si="48">SUM(K43:K50)+K55+K56</f>
        <v>87.801164791741186</v>
      </c>
      <c r="L59" s="247"/>
      <c r="M59" s="247">
        <f t="shared" si="48"/>
        <v>9.947051731685713</v>
      </c>
      <c r="N59" s="247">
        <f t="shared" si="48"/>
        <v>11.712473403118898</v>
      </c>
      <c r="O59" s="247">
        <f t="shared" ref="O59" si="49">SUM(O43:O50)+O55+O56</f>
        <v>0.4231225714285714</v>
      </c>
      <c r="P59" s="247">
        <f>SUM(P43:P50)+P55+P56</f>
        <v>23.349507891668683</v>
      </c>
      <c r="Q59" s="247">
        <f>SUM(Q43:Q50)+Q55+Q56</f>
        <v>198.16218436065034</v>
      </c>
      <c r="R59" s="247">
        <f>SUM(R43:R50)+R55+R56</f>
        <v>418.41698475929877</v>
      </c>
      <c r="S59" s="248"/>
      <c r="T59" s="249"/>
      <c r="U59" s="250"/>
      <c r="BD59" s="324" t="s">
        <v>198</v>
      </c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325"/>
      <c r="BQ59" s="325"/>
      <c r="BR59" s="325"/>
      <c r="BS59" s="325"/>
      <c r="BT59" s="326"/>
    </row>
    <row r="60" spans="1:73" ht="36.6" x14ac:dyDescent="0.3">
      <c r="G60" s="209"/>
      <c r="N60" s="239"/>
      <c r="O60" s="239"/>
      <c r="P60" s="239"/>
      <c r="Q60" s="239"/>
      <c r="R60" s="239"/>
      <c r="S60" s="251" t="s">
        <v>199</v>
      </c>
      <c r="T60" s="239"/>
      <c r="U60" s="239"/>
      <c r="BD60" s="351" t="s">
        <v>142</v>
      </c>
      <c r="BE60" s="352"/>
      <c r="BF60" s="352"/>
      <c r="BG60" s="204" t="str">
        <f>BG42</f>
        <v>bemesting</v>
      </c>
      <c r="BH60" s="204" t="str">
        <f t="shared" ref="BH60:BT60" si="50">BH42</f>
        <v>Depositie</v>
      </c>
      <c r="BI60" s="204" t="str">
        <f t="shared" si="50"/>
        <v>Infiltratie</v>
      </c>
      <c r="BJ60" s="204" t="str">
        <f t="shared" si="50"/>
        <v>Kwel</v>
      </c>
      <c r="BK60" s="204" t="str">
        <f t="shared" si="50"/>
        <v>Mineralisatie &amp; uitloging</v>
      </c>
      <c r="BL60" s="204" t="str">
        <f t="shared" si="50"/>
        <v>Uit- en afspoeling natuur</v>
      </c>
      <c r="BM60" s="204" t="str">
        <f t="shared" si="50"/>
        <v xml:space="preserve">Directe kwel </v>
      </c>
      <c r="BN60" s="204" t="str">
        <f t="shared" si="50"/>
        <v>Overig agrarisch</v>
      </c>
      <c r="BO60" s="204" t="str">
        <f t="shared" si="50"/>
        <v>RWZI</v>
      </c>
      <c r="BP60" s="204" t="str">
        <f t="shared" si="50"/>
        <v>Industrie</v>
      </c>
      <c r="BQ60" s="204" t="str">
        <f t="shared" si="50"/>
        <v>Depositie open water</v>
      </c>
      <c r="BR60" s="204" t="str">
        <f t="shared" si="50"/>
        <v>Regenwaterriolen</v>
      </c>
      <c r="BS60" s="204" t="str">
        <f t="shared" si="50"/>
        <v>Inlaat Rijkswater</v>
      </c>
      <c r="BT60" s="205" t="str">
        <f t="shared" si="50"/>
        <v>Overige bronnen</v>
      </c>
    </row>
    <row r="61" spans="1:73" x14ac:dyDescent="0.3">
      <c r="K61" s="287"/>
      <c r="L61" s="287"/>
      <c r="M61" s="287"/>
      <c r="N61" s="287"/>
      <c r="O61" s="287"/>
      <c r="P61" s="287"/>
      <c r="Q61" s="287"/>
      <c r="R61" s="8"/>
      <c r="BD61" s="217">
        <f t="shared" ref="BD61:BD69" si="51">BD23</f>
        <v>37101</v>
      </c>
      <c r="BE61" s="10" t="str">
        <f t="shared" ref="BE61:BE69" si="52">BE23</f>
        <v>Tochten ABC1</v>
      </c>
      <c r="BF61" s="90"/>
      <c r="BG61" s="90">
        <f>BF23+BG23</f>
        <v>4.082546716787195E-2</v>
      </c>
      <c r="BH61" s="90">
        <f t="shared" ref="BH61:BM69" si="53">BH23</f>
        <v>0</v>
      </c>
      <c r="BI61" s="90">
        <f t="shared" si="53"/>
        <v>1.0587489791173568E-4</v>
      </c>
      <c r="BJ61" s="90">
        <f t="shared" si="53"/>
        <v>6.3320911297605434E-2</v>
      </c>
      <c r="BK61" s="90">
        <f t="shared" si="53"/>
        <v>1.7515764630719112E-2</v>
      </c>
      <c r="BL61" s="90">
        <f t="shared" si="53"/>
        <v>0.1798114196578833</v>
      </c>
      <c r="BM61" s="90">
        <f t="shared" si="53"/>
        <v>0.62321617698223319</v>
      </c>
      <c r="BN61" s="90">
        <f t="shared" ref="BN61:BN69" si="54">BN23+BO23+BP23</f>
        <v>4.8014615972772116E-2</v>
      </c>
      <c r="BO61" s="90">
        <f t="shared" ref="BO61:BQ69" si="55">BQ23</f>
        <v>0</v>
      </c>
      <c r="BP61" s="90">
        <f t="shared" si="55"/>
        <v>0</v>
      </c>
      <c r="BQ61" s="90">
        <f t="shared" si="55"/>
        <v>0</v>
      </c>
      <c r="BR61" s="90">
        <f t="shared" ref="BR61:BR69" si="56">BU23</f>
        <v>1.5511838451432758E-2</v>
      </c>
      <c r="BS61" s="90">
        <f t="shared" ref="BS61:BS69" si="57">BY23</f>
        <v>0</v>
      </c>
      <c r="BT61" s="218">
        <f t="shared" ref="BT61:BT69" si="58">BT23+BV23+BW23+BX23</f>
        <v>1.1677930941570484E-2</v>
      </c>
      <c r="BU61" s="90">
        <f>SUM(BG61:BT61)</f>
        <v>1</v>
      </c>
    </row>
    <row r="62" spans="1:73" x14ac:dyDescent="0.3">
      <c r="BD62" s="217">
        <f t="shared" si="51"/>
        <v>37102</v>
      </c>
      <c r="BE62" s="10" t="str">
        <f t="shared" si="52"/>
        <v>Tochten ABC2</v>
      </c>
      <c r="BF62" s="90"/>
      <c r="BG62" s="90">
        <f t="shared" ref="BG62:BG69" si="59">BF24+BG24</f>
        <v>0.14283130726733007</v>
      </c>
      <c r="BH62" s="90">
        <f t="shared" si="53"/>
        <v>0</v>
      </c>
      <c r="BI62" s="90">
        <f t="shared" si="53"/>
        <v>2.1689092314709565E-4</v>
      </c>
      <c r="BJ62" s="90">
        <f t="shared" si="53"/>
        <v>0.12306774327770229</v>
      </c>
      <c r="BK62" s="90">
        <f t="shared" si="53"/>
        <v>6.5737993768011538E-2</v>
      </c>
      <c r="BL62" s="90">
        <f t="shared" si="53"/>
        <v>4.2498610565064432E-2</v>
      </c>
      <c r="BM62" s="90">
        <f t="shared" si="53"/>
        <v>0.55999909072769416</v>
      </c>
      <c r="BN62" s="90">
        <f t="shared" si="54"/>
        <v>4.2262137602869038E-2</v>
      </c>
      <c r="BO62" s="90">
        <f t="shared" si="55"/>
        <v>0</v>
      </c>
      <c r="BP62" s="90">
        <f t="shared" si="55"/>
        <v>0</v>
      </c>
      <c r="BQ62" s="90">
        <f t="shared" si="55"/>
        <v>0</v>
      </c>
      <c r="BR62" s="90">
        <f t="shared" si="56"/>
        <v>1.2902267248181625E-2</v>
      </c>
      <c r="BS62" s="90">
        <f t="shared" si="57"/>
        <v>0</v>
      </c>
      <c r="BT62" s="218">
        <f t="shared" si="58"/>
        <v>1.0483958619999758E-2</v>
      </c>
      <c r="BU62" s="90">
        <f t="shared" ref="BU62:BU73" si="60">SUM(BG62:BT62)</f>
        <v>0.99999999999999989</v>
      </c>
    </row>
    <row r="63" spans="1:73" x14ac:dyDescent="0.3">
      <c r="A63" s="287"/>
      <c r="B63" s="287"/>
      <c r="C63" s="287"/>
      <c r="D63" s="287"/>
      <c r="W63" s="287"/>
      <c r="Y63" s="287"/>
      <c r="Z63" s="287"/>
      <c r="AA63" s="287"/>
      <c r="AB63" s="287"/>
      <c r="AC63" s="287"/>
      <c r="AD63" s="287"/>
      <c r="AE63" s="287"/>
      <c r="AF63" s="287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7"/>
      <c r="AU63" s="287"/>
      <c r="AV63" s="287"/>
      <c r="AW63" s="287"/>
      <c r="AX63" s="287"/>
      <c r="BD63" s="217">
        <f t="shared" si="51"/>
        <v>37103</v>
      </c>
      <c r="BE63" s="10" t="str">
        <f t="shared" si="52"/>
        <v>Tochten DE Almere</v>
      </c>
      <c r="BF63" s="90"/>
      <c r="BG63" s="90">
        <f t="shared" si="59"/>
        <v>4.1218564909520979E-2</v>
      </c>
      <c r="BH63" s="90">
        <f t="shared" si="53"/>
        <v>0</v>
      </c>
      <c r="BI63" s="90">
        <f t="shared" si="53"/>
        <v>3.4286150935175264E-5</v>
      </c>
      <c r="BJ63" s="90">
        <f t="shared" si="53"/>
        <v>8.3323259159289065E-2</v>
      </c>
      <c r="BK63" s="90">
        <f t="shared" si="53"/>
        <v>1.2849761852375324E-2</v>
      </c>
      <c r="BL63" s="90">
        <f t="shared" si="53"/>
        <v>0.16076749729335288</v>
      </c>
      <c r="BM63" s="90">
        <f t="shared" si="53"/>
        <v>5.8598890881684858E-2</v>
      </c>
      <c r="BN63" s="90">
        <f t="shared" si="54"/>
        <v>1.8418252455535258E-2</v>
      </c>
      <c r="BO63" s="90">
        <f t="shared" si="55"/>
        <v>0</v>
      </c>
      <c r="BP63" s="90">
        <f t="shared" si="55"/>
        <v>0</v>
      </c>
      <c r="BQ63" s="90">
        <f t="shared" si="55"/>
        <v>0</v>
      </c>
      <c r="BR63" s="90">
        <f t="shared" si="56"/>
        <v>0.43914058194673683</v>
      </c>
      <c r="BS63" s="90">
        <f t="shared" si="57"/>
        <v>1.4330855614772379E-2</v>
      </c>
      <c r="BT63" s="218">
        <f t="shared" si="58"/>
        <v>0.17131804973579723</v>
      </c>
      <c r="BU63" s="90">
        <f t="shared" si="60"/>
        <v>1</v>
      </c>
    </row>
    <row r="64" spans="1:73" x14ac:dyDescent="0.3">
      <c r="A64"/>
      <c r="W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BD64" s="217">
        <f t="shared" si="51"/>
        <v>37104</v>
      </c>
      <c r="BE64" s="10" t="str">
        <f t="shared" si="52"/>
        <v>Tochten DE Zuidlob</v>
      </c>
      <c r="BF64" s="90"/>
      <c r="BG64" s="90">
        <f t="shared" si="59"/>
        <v>0.17173572062341425</v>
      </c>
      <c r="BH64" s="90">
        <f t="shared" si="53"/>
        <v>0</v>
      </c>
      <c r="BI64" s="90">
        <f t="shared" si="53"/>
        <v>2.5167931157363228E-4</v>
      </c>
      <c r="BJ64" s="90">
        <f t="shared" si="53"/>
        <v>6.5565115874644087E-2</v>
      </c>
      <c r="BK64" s="90">
        <f t="shared" si="53"/>
        <v>0.10112808018742817</v>
      </c>
      <c r="BL64" s="90">
        <f t="shared" si="53"/>
        <v>5.1648997427119106E-2</v>
      </c>
      <c r="BM64" s="90">
        <f t="shared" si="53"/>
        <v>0.28899809629828671</v>
      </c>
      <c r="BN64" s="90">
        <f t="shared" si="54"/>
        <v>8.9527917336652885E-2</v>
      </c>
      <c r="BO64" s="90">
        <f t="shared" si="55"/>
        <v>0</v>
      </c>
      <c r="BP64" s="90">
        <f t="shared" si="55"/>
        <v>0</v>
      </c>
      <c r="BQ64" s="90">
        <f t="shared" si="55"/>
        <v>0</v>
      </c>
      <c r="BR64" s="90">
        <f t="shared" si="56"/>
        <v>0.21911941295631884</v>
      </c>
      <c r="BS64" s="90">
        <f t="shared" si="57"/>
        <v>0</v>
      </c>
      <c r="BT64" s="218">
        <f t="shared" si="58"/>
        <v>1.2024979984562249E-2</v>
      </c>
      <c r="BU64" s="90">
        <f t="shared" si="60"/>
        <v>0.99999999999999989</v>
      </c>
    </row>
    <row r="65" spans="1:73" x14ac:dyDescent="0.3">
      <c r="A65"/>
      <c r="W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BD65" s="217">
        <f t="shared" si="51"/>
        <v>37105</v>
      </c>
      <c r="BE65" s="10" t="str">
        <f t="shared" si="52"/>
        <v>Tochten FGIK</v>
      </c>
      <c r="BF65" s="90"/>
      <c r="BG65" s="90">
        <f t="shared" si="59"/>
        <v>0.26117794413607281</v>
      </c>
      <c r="BH65" s="90">
        <f t="shared" si="53"/>
        <v>0</v>
      </c>
      <c r="BI65" s="90">
        <f t="shared" si="53"/>
        <v>2.3906296616730454E-4</v>
      </c>
      <c r="BJ65" s="90">
        <f t="shared" si="53"/>
        <v>6.3716799790025716E-2</v>
      </c>
      <c r="BK65" s="90">
        <f t="shared" si="53"/>
        <v>0.11168251061939043</v>
      </c>
      <c r="BL65" s="90">
        <f t="shared" si="53"/>
        <v>1.8186768828259165E-2</v>
      </c>
      <c r="BM65" s="90">
        <f t="shared" si="53"/>
        <v>0.36046465438626785</v>
      </c>
      <c r="BN65" s="90">
        <f t="shared" si="54"/>
        <v>4.1853682438110079E-2</v>
      </c>
      <c r="BO65" s="90">
        <f t="shared" si="55"/>
        <v>6.0473185284012204E-4</v>
      </c>
      <c r="BP65" s="90">
        <f t="shared" si="55"/>
        <v>0</v>
      </c>
      <c r="BQ65" s="90">
        <f t="shared" si="55"/>
        <v>0</v>
      </c>
      <c r="BR65" s="90">
        <f t="shared" si="56"/>
        <v>0.1060638652122947</v>
      </c>
      <c r="BS65" s="90">
        <f t="shared" si="57"/>
        <v>5.167779695921134E-3</v>
      </c>
      <c r="BT65" s="218">
        <f t="shared" si="58"/>
        <v>3.0842200074650446E-2</v>
      </c>
      <c r="BU65" s="90">
        <f t="shared" si="60"/>
        <v>0.99999999999999967</v>
      </c>
    </row>
    <row r="66" spans="1:73" x14ac:dyDescent="0.3">
      <c r="A66"/>
      <c r="W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BD66" s="217">
        <f t="shared" si="51"/>
        <v>37106</v>
      </c>
      <c r="BE66" s="10" t="str">
        <f t="shared" si="52"/>
        <v>Tochten FGIK ZUID</v>
      </c>
      <c r="BF66" s="90"/>
      <c r="BG66" s="90">
        <f t="shared" si="59"/>
        <v>0.40469052374242687</v>
      </c>
      <c r="BH66" s="90">
        <f t="shared" si="53"/>
        <v>0</v>
      </c>
      <c r="BI66" s="90">
        <f t="shared" si="53"/>
        <v>1.4699154196736496E-4</v>
      </c>
      <c r="BJ66" s="90">
        <f t="shared" si="53"/>
        <v>6.8055429287770836E-2</v>
      </c>
      <c r="BK66" s="90">
        <f t="shared" si="53"/>
        <v>0.25719730076017205</v>
      </c>
      <c r="BL66" s="90">
        <f t="shared" si="53"/>
        <v>3.5099257512914254E-2</v>
      </c>
      <c r="BM66" s="90">
        <f t="shared" si="53"/>
        <v>7.5029689339080871E-2</v>
      </c>
      <c r="BN66" s="90">
        <f t="shared" si="54"/>
        <v>0.11342342988753792</v>
      </c>
      <c r="BO66" s="90">
        <f t="shared" si="55"/>
        <v>1.2628458116822428E-3</v>
      </c>
      <c r="BP66" s="90">
        <f t="shared" si="55"/>
        <v>0</v>
      </c>
      <c r="BQ66" s="90">
        <f t="shared" si="55"/>
        <v>0</v>
      </c>
      <c r="BR66" s="90">
        <f t="shared" si="56"/>
        <v>1.9688378854435272E-2</v>
      </c>
      <c r="BS66" s="90">
        <f t="shared" si="57"/>
        <v>6.1259542297547615E-3</v>
      </c>
      <c r="BT66" s="218">
        <f t="shared" si="58"/>
        <v>1.9280199032257514E-2</v>
      </c>
      <c r="BU66" s="90">
        <f t="shared" si="60"/>
        <v>0.99999999999999989</v>
      </c>
    </row>
    <row r="67" spans="1:73" x14ac:dyDescent="0.3">
      <c r="A67"/>
      <c r="W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BD67" s="217">
        <f t="shared" si="51"/>
        <v>37107</v>
      </c>
      <c r="BE67" s="10" t="str">
        <f t="shared" si="52"/>
        <v>Tochten H</v>
      </c>
      <c r="BF67" s="90"/>
      <c r="BG67" s="90">
        <f t="shared" si="59"/>
        <v>0.26497073798307952</v>
      </c>
      <c r="BH67" s="90">
        <f t="shared" si="53"/>
        <v>0</v>
      </c>
      <c r="BI67" s="90">
        <f t="shared" si="53"/>
        <v>1.9766577483236935E-4</v>
      </c>
      <c r="BJ67" s="90">
        <f t="shared" si="53"/>
        <v>3.2670992169609274E-2</v>
      </c>
      <c r="BK67" s="90">
        <f t="shared" si="53"/>
        <v>0.12586314465623677</v>
      </c>
      <c r="BL67" s="90">
        <f t="shared" si="53"/>
        <v>1.6861221040890328E-2</v>
      </c>
      <c r="BM67" s="90">
        <f t="shared" si="53"/>
        <v>0.42113224536404997</v>
      </c>
      <c r="BN67" s="90">
        <f t="shared" si="54"/>
        <v>3.4440734553345419E-2</v>
      </c>
      <c r="BO67" s="90">
        <f t="shared" si="55"/>
        <v>7.7641647331153406E-3</v>
      </c>
      <c r="BP67" s="90">
        <f t="shared" si="55"/>
        <v>0</v>
      </c>
      <c r="BQ67" s="90">
        <f t="shared" si="55"/>
        <v>0</v>
      </c>
      <c r="BR67" s="90">
        <f t="shared" si="56"/>
        <v>3.3735676667318991E-2</v>
      </c>
      <c r="BS67" s="90">
        <f t="shared" si="57"/>
        <v>3.7663281888690656E-2</v>
      </c>
      <c r="BT67" s="218">
        <f t="shared" si="58"/>
        <v>2.4700135168831357E-2</v>
      </c>
      <c r="BU67" s="90">
        <f t="shared" si="60"/>
        <v>1</v>
      </c>
    </row>
    <row r="68" spans="1:73" x14ac:dyDescent="0.3">
      <c r="A68"/>
      <c r="W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BD68" s="217">
        <f t="shared" si="51"/>
        <v>37108</v>
      </c>
      <c r="BE68" s="10" t="str">
        <f t="shared" si="52"/>
        <v>Tochten J</v>
      </c>
      <c r="BF68" s="90"/>
      <c r="BG68" s="90">
        <f t="shared" si="59"/>
        <v>0.24768215352609499</v>
      </c>
      <c r="BH68" s="90">
        <f t="shared" si="53"/>
        <v>0</v>
      </c>
      <c r="BI68" s="90">
        <f t="shared" si="53"/>
        <v>2.3356659703725901E-4</v>
      </c>
      <c r="BJ68" s="90">
        <f t="shared" si="53"/>
        <v>0.17930746878301351</v>
      </c>
      <c r="BK68" s="90">
        <f t="shared" si="53"/>
        <v>5.9650940319886804E-2</v>
      </c>
      <c r="BL68" s="90">
        <f t="shared" si="53"/>
        <v>3.3114806109395808E-2</v>
      </c>
      <c r="BM68" s="90">
        <f t="shared" si="53"/>
        <v>0.31593262971441927</v>
      </c>
      <c r="BN68" s="90">
        <f t="shared" si="54"/>
        <v>4.5692137226874541E-2</v>
      </c>
      <c r="BO68" s="90">
        <f t="shared" si="55"/>
        <v>0</v>
      </c>
      <c r="BP68" s="90">
        <f t="shared" si="55"/>
        <v>0</v>
      </c>
      <c r="BQ68" s="90">
        <f t="shared" si="55"/>
        <v>0</v>
      </c>
      <c r="BR68" s="90">
        <f t="shared" si="56"/>
        <v>9.4859265510166754E-2</v>
      </c>
      <c r="BS68" s="90">
        <f t="shared" si="57"/>
        <v>2.0200898889553161E-3</v>
      </c>
      <c r="BT68" s="218">
        <f t="shared" si="58"/>
        <v>2.1506942324155544E-2</v>
      </c>
      <c r="BU68" s="90">
        <f t="shared" si="60"/>
        <v>0.99999999999999967</v>
      </c>
    </row>
    <row r="69" spans="1:73" x14ac:dyDescent="0.3">
      <c r="A69"/>
      <c r="W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BD69" s="217">
        <f t="shared" si="51"/>
        <v>37109</v>
      </c>
      <c r="BE69" s="10" t="str">
        <f t="shared" si="52"/>
        <v>Tochten lage afdeling NOP</v>
      </c>
      <c r="BF69" s="90"/>
      <c r="BG69" s="90">
        <f t="shared" si="59"/>
        <v>0.27436229698448567</v>
      </c>
      <c r="BH69" s="90">
        <f t="shared" si="53"/>
        <v>0</v>
      </c>
      <c r="BI69" s="90">
        <f t="shared" si="53"/>
        <v>2.0621913302599752E-4</v>
      </c>
      <c r="BJ69" s="90">
        <f t="shared" si="53"/>
        <v>0.18776161043650022</v>
      </c>
      <c r="BK69" s="90">
        <f t="shared" si="53"/>
        <v>9.6188317690240013E-2</v>
      </c>
      <c r="BL69" s="90">
        <f t="shared" si="53"/>
        <v>6.6810274953158335E-3</v>
      </c>
      <c r="BM69" s="90">
        <f t="shared" si="53"/>
        <v>0.17199365430993074</v>
      </c>
      <c r="BN69" s="90">
        <f t="shared" si="54"/>
        <v>6.0592724536749659E-2</v>
      </c>
      <c r="BO69" s="90">
        <f t="shared" si="55"/>
        <v>0</v>
      </c>
      <c r="BP69" s="90">
        <f t="shared" si="55"/>
        <v>0</v>
      </c>
      <c r="BQ69" s="90">
        <f t="shared" si="55"/>
        <v>0</v>
      </c>
      <c r="BR69" s="90">
        <f t="shared" si="56"/>
        <v>6.4050302128927112E-3</v>
      </c>
      <c r="BS69" s="90">
        <f t="shared" si="57"/>
        <v>0.18488329951503146</v>
      </c>
      <c r="BT69" s="218">
        <f t="shared" si="58"/>
        <v>1.0925819685827644E-2</v>
      </c>
      <c r="BU69" s="90">
        <f t="shared" si="60"/>
        <v>1</v>
      </c>
    </row>
    <row r="70" spans="1:73" x14ac:dyDescent="0.3">
      <c r="A70"/>
      <c r="W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BD70" s="217">
        <f t="shared" ref="BD70:BE73" si="61">BD33</f>
        <v>37111</v>
      </c>
      <c r="BE70" s="10" t="str">
        <f t="shared" si="61"/>
        <v>Tochten hoge afdeling NOP</v>
      </c>
      <c r="BF70" s="90"/>
      <c r="BG70" s="90">
        <f>BF33+BG33</f>
        <v>0.22112056592940793</v>
      </c>
      <c r="BH70" s="90">
        <f t="shared" ref="BH70:BM73" si="62">BH33</f>
        <v>0</v>
      </c>
      <c r="BI70" s="90">
        <f t="shared" si="62"/>
        <v>1.6682959522447752E-4</v>
      </c>
      <c r="BJ70" s="90">
        <f t="shared" si="62"/>
        <v>0.11217835777425603</v>
      </c>
      <c r="BK70" s="90">
        <f t="shared" si="62"/>
        <v>7.3162812416411871E-2</v>
      </c>
      <c r="BL70" s="90">
        <f t="shared" si="62"/>
        <v>4.4574166744192848E-3</v>
      </c>
      <c r="BM70" s="90">
        <f t="shared" si="62"/>
        <v>0.16505627446134027</v>
      </c>
      <c r="BN70" s="90">
        <f>BN33+BO33+BP33</f>
        <v>8.1316296042408545E-2</v>
      </c>
      <c r="BO70" s="90">
        <f t="shared" ref="BO70:BQ73" si="63">BQ33</f>
        <v>0</v>
      </c>
      <c r="BP70" s="90">
        <f t="shared" si="63"/>
        <v>0</v>
      </c>
      <c r="BQ70" s="90">
        <f t="shared" si="63"/>
        <v>0</v>
      </c>
      <c r="BR70" s="90">
        <f>BU33</f>
        <v>2.0493969974862553E-3</v>
      </c>
      <c r="BS70" s="90">
        <f>BY33</f>
        <v>0.33397508025049616</v>
      </c>
      <c r="BT70" s="218">
        <f>BT33+BV33+BW33+BX33</f>
        <v>6.5169698585490167E-3</v>
      </c>
      <c r="BU70" s="90">
        <f t="shared" si="60"/>
        <v>0.99999999999999989</v>
      </c>
    </row>
    <row r="71" spans="1:73" x14ac:dyDescent="0.3">
      <c r="A71"/>
      <c r="W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BD71" s="217">
        <f t="shared" si="61"/>
        <v>37112</v>
      </c>
      <c r="BE71" s="10" t="str">
        <f t="shared" si="61"/>
        <v>Vaarten NOP</v>
      </c>
      <c r="BF71" s="90"/>
      <c r="BG71" s="90">
        <f>BF34+BG34</f>
        <v>0.15857212203736193</v>
      </c>
      <c r="BH71" s="90">
        <f t="shared" si="62"/>
        <v>0</v>
      </c>
      <c r="BI71" s="90">
        <f t="shared" si="62"/>
        <v>1.1755272582116633E-4</v>
      </c>
      <c r="BJ71" s="90">
        <f t="shared" si="62"/>
        <v>0.10123325476731922</v>
      </c>
      <c r="BK71" s="90">
        <f t="shared" si="62"/>
        <v>5.6017389928603674E-2</v>
      </c>
      <c r="BL71" s="90">
        <f t="shared" si="62"/>
        <v>4.980735507527409E-3</v>
      </c>
      <c r="BM71" s="90">
        <f t="shared" si="62"/>
        <v>0.26941442750978734</v>
      </c>
      <c r="BN71" s="90">
        <f>BN34+BO34+BP34</f>
        <v>3.6801552369634859E-2</v>
      </c>
      <c r="BO71" s="90">
        <f t="shared" si="63"/>
        <v>0.13723951493919012</v>
      </c>
      <c r="BP71" s="90">
        <f t="shared" si="63"/>
        <v>0</v>
      </c>
      <c r="BQ71" s="90">
        <f t="shared" si="63"/>
        <v>0</v>
      </c>
      <c r="BR71" s="90">
        <f>BU34</f>
        <v>4.7054882994787047E-3</v>
      </c>
      <c r="BS71" s="90">
        <f>BY34</f>
        <v>0.21933446371170068</v>
      </c>
      <c r="BT71" s="218">
        <f>BT34+BV34+BW34+BX34</f>
        <v>1.1583498203574953E-2</v>
      </c>
      <c r="BU71" s="90">
        <f t="shared" si="60"/>
        <v>1</v>
      </c>
    </row>
    <row r="72" spans="1:73" x14ac:dyDescent="0.3">
      <c r="A72"/>
      <c r="W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BD72" s="217">
        <f t="shared" si="61"/>
        <v>37113</v>
      </c>
      <c r="BE72" s="10" t="str">
        <f t="shared" si="61"/>
        <v>Vaarten hoge afdeling ZOF</v>
      </c>
      <c r="BF72" s="90"/>
      <c r="BG72" s="90">
        <f>BF35+BG35</f>
        <v>0.11612891463645912</v>
      </c>
      <c r="BH72" s="90">
        <f t="shared" si="62"/>
        <v>0</v>
      </c>
      <c r="BI72" s="90">
        <f t="shared" si="62"/>
        <v>1.196019250534539E-4</v>
      </c>
      <c r="BJ72" s="90">
        <f t="shared" si="62"/>
        <v>6.7975544280806904E-2</v>
      </c>
      <c r="BK72" s="90">
        <f t="shared" si="62"/>
        <v>5.4381134566217161E-2</v>
      </c>
      <c r="BL72" s="90">
        <f t="shared" si="62"/>
        <v>4.612496923225802E-2</v>
      </c>
      <c r="BM72" s="90">
        <f t="shared" si="62"/>
        <v>0.42024993433716917</v>
      </c>
      <c r="BN72" s="90">
        <f>BN35+BO35+BP35</f>
        <v>3.1807582352299156E-2</v>
      </c>
      <c r="BO72" s="90">
        <f t="shared" si="63"/>
        <v>2.22023209260254E-2</v>
      </c>
      <c r="BP72" s="90">
        <f t="shared" si="63"/>
        <v>0</v>
      </c>
      <c r="BQ72" s="90">
        <f t="shared" si="63"/>
        <v>0</v>
      </c>
      <c r="BR72" s="90">
        <f>BU35</f>
        <v>8.7535328559739348E-2</v>
      </c>
      <c r="BS72" s="90">
        <f>BY35</f>
        <v>0.10949653594902774</v>
      </c>
      <c r="BT72" s="218">
        <f>BT35+BV35+BW35+BX35</f>
        <v>4.3978133234944511E-2</v>
      </c>
      <c r="BU72" s="90">
        <f t="shared" si="60"/>
        <v>0.99999999999999989</v>
      </c>
    </row>
    <row r="73" spans="1:73" x14ac:dyDescent="0.3">
      <c r="A73"/>
      <c r="W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BD73" s="217">
        <f t="shared" si="61"/>
        <v>37114</v>
      </c>
      <c r="BE73" s="10" t="str">
        <f t="shared" si="61"/>
        <v>Vaarten Lage afdeling ZOF</v>
      </c>
      <c r="BF73" s="90"/>
      <c r="BG73" s="90">
        <f>BF36+BG36</f>
        <v>0.10851839666209598</v>
      </c>
      <c r="BH73" s="90">
        <f t="shared" si="62"/>
        <v>0</v>
      </c>
      <c r="BI73" s="90">
        <f t="shared" si="62"/>
        <v>9.0082375370916298E-5</v>
      </c>
      <c r="BJ73" s="90">
        <f t="shared" si="62"/>
        <v>3.4110938565920811E-2</v>
      </c>
      <c r="BK73" s="90">
        <f t="shared" si="62"/>
        <v>4.6388466890306679E-2</v>
      </c>
      <c r="BL73" s="90">
        <f t="shared" si="62"/>
        <v>2.0685865396157861E-2</v>
      </c>
      <c r="BM73" s="90">
        <f t="shared" si="62"/>
        <v>0.34761444741985009</v>
      </c>
      <c r="BN73" s="90">
        <f>BN36+BO36+BP36</f>
        <v>2.8573004560571654E-2</v>
      </c>
      <c r="BO73" s="90">
        <f t="shared" si="63"/>
        <v>0.24982947128760466</v>
      </c>
      <c r="BP73" s="90">
        <f t="shared" si="63"/>
        <v>3.008154042366267E-3</v>
      </c>
      <c r="BQ73" s="90">
        <f t="shared" si="63"/>
        <v>0</v>
      </c>
      <c r="BR73" s="90">
        <f>BU36</f>
        <v>5.8959109355125543E-2</v>
      </c>
      <c r="BS73" s="90">
        <f>BY36</f>
        <v>3.9636946091842977E-2</v>
      </c>
      <c r="BT73" s="218">
        <f>BT36+BV36+BW36+BX36</f>
        <v>6.2585117352786601E-2</v>
      </c>
      <c r="BU73" s="90">
        <f t="shared" si="60"/>
        <v>1</v>
      </c>
    </row>
    <row r="74" spans="1:73" ht="15" thickBot="1" x14ac:dyDescent="0.35">
      <c r="A74"/>
      <c r="W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BD74" s="225"/>
      <c r="BE74" s="226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8"/>
    </row>
    <row r="75" spans="1:73" x14ac:dyDescent="0.3">
      <c r="A75"/>
      <c r="W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73" x14ac:dyDescent="0.3">
      <c r="A76"/>
      <c r="W76" s="300"/>
      <c r="Y76" s="287"/>
      <c r="Z76" s="287"/>
      <c r="AA76" s="287"/>
      <c r="AB76" s="287"/>
      <c r="AC76" s="287"/>
      <c r="AD76" s="287"/>
      <c r="AE76" s="287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73" x14ac:dyDescent="0.3">
      <c r="A77"/>
      <c r="W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73" x14ac:dyDescent="0.3">
      <c r="A7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73" x14ac:dyDescent="0.3">
      <c r="A79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73" x14ac:dyDescent="0.3">
      <c r="A80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3">
      <c r="A81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3">
      <c r="A82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3">
      <c r="A83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3">
      <c r="A84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3">
      <c r="A85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3">
      <c r="A86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3">
      <c r="A87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3">
      <c r="A8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3">
      <c r="A89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3">
      <c r="A90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3">
      <c r="A91"/>
      <c r="G91" s="8"/>
      <c r="H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105" spans="10:10" x14ac:dyDescent="0.3">
      <c r="J105" s="5"/>
    </row>
    <row r="106" spans="10:10" x14ac:dyDescent="0.3">
      <c r="J106" s="5"/>
    </row>
    <row r="107" spans="10:10" x14ac:dyDescent="0.3">
      <c r="J107" s="5"/>
    </row>
    <row r="108" spans="10:10" x14ac:dyDescent="0.3">
      <c r="J108" s="5"/>
    </row>
    <row r="109" spans="10:10" x14ac:dyDescent="0.3">
      <c r="J109" s="91"/>
    </row>
    <row r="110" spans="10:10" x14ac:dyDescent="0.3">
      <c r="J110" s="91"/>
    </row>
    <row r="111" spans="10:10" x14ac:dyDescent="0.3">
      <c r="J111" s="91"/>
    </row>
    <row r="112" spans="10:10" x14ac:dyDescent="0.3">
      <c r="J112" s="91"/>
    </row>
    <row r="113" spans="10:10" x14ac:dyDescent="0.3">
      <c r="J113" s="91"/>
    </row>
    <row r="114" spans="10:10" x14ac:dyDescent="0.3">
      <c r="J114" s="91"/>
    </row>
    <row r="115" spans="10:10" x14ac:dyDescent="0.3">
      <c r="J115" s="91"/>
    </row>
    <row r="116" spans="10:10" x14ac:dyDescent="0.3">
      <c r="J116" s="91"/>
    </row>
    <row r="117" spans="10:10" x14ac:dyDescent="0.3">
      <c r="J117" s="91"/>
    </row>
    <row r="118" spans="10:10" x14ac:dyDescent="0.3">
      <c r="J118" s="91"/>
    </row>
  </sheetData>
  <mergeCells count="30">
    <mergeCell ref="AC3:AE3"/>
    <mergeCell ref="BD42:BF42"/>
    <mergeCell ref="BD60:BF60"/>
    <mergeCell ref="C3:F3"/>
    <mergeCell ref="G3:M3"/>
    <mergeCell ref="O3:Q3"/>
    <mergeCell ref="R3:Y3"/>
    <mergeCell ref="Z3:AB3"/>
    <mergeCell ref="AG3:AM3"/>
    <mergeCell ref="AO3:AQ3"/>
    <mergeCell ref="AR3:AY3"/>
    <mergeCell ref="AZ3:BA3"/>
    <mergeCell ref="BD59:BT59"/>
    <mergeCell ref="CA4:CB4"/>
    <mergeCell ref="C21:F21"/>
    <mergeCell ref="G21:M21"/>
    <mergeCell ref="O21:Q21"/>
    <mergeCell ref="R21:Y21"/>
    <mergeCell ref="Z21:AB21"/>
    <mergeCell ref="AC21:AE21"/>
    <mergeCell ref="AG21:AM21"/>
    <mergeCell ref="AO21:AQ21"/>
    <mergeCell ref="AR21:AY21"/>
    <mergeCell ref="AZ21:BA21"/>
    <mergeCell ref="CA22:CB22"/>
    <mergeCell ref="G41:J41"/>
    <mergeCell ref="K41:S41"/>
    <mergeCell ref="T41:U41"/>
    <mergeCell ref="V41:W41"/>
    <mergeCell ref="BD41:BT41"/>
  </mergeCells>
  <conditionalFormatting sqref="BF5:BY21">
    <cfRule type="cellIs" dxfId="12" priority="4" operator="lessThan">
      <formula>0.02</formula>
    </cfRule>
    <cfRule type="cellIs" dxfId="11" priority="5" operator="greaterThan">
      <formula>0.25</formula>
    </cfRule>
    <cfRule type="cellIs" dxfId="10" priority="6" operator="between">
      <formula>0.1</formula>
      <formula>0.25</formula>
    </cfRule>
  </conditionalFormatting>
  <conditionalFormatting sqref="BF23:BY38">
    <cfRule type="cellIs" dxfId="9" priority="1" operator="lessThan">
      <formula>0.02</formula>
    </cfRule>
    <cfRule type="cellIs" dxfId="8" priority="2" operator="greaterThan">
      <formula>0.25</formula>
    </cfRule>
    <cfRule type="cellIs" dxfId="7" priority="3" operator="between">
      <formula>0.1</formula>
      <formula>0.25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7B3E-EF09-47FE-BBBD-0CDAD134043D}">
  <dimension ref="A1:CB74"/>
  <sheetViews>
    <sheetView tabSelected="1" zoomScaleNormal="100" workbookViewId="0"/>
  </sheetViews>
  <sheetFormatPr defaultColWidth="8.88671875" defaultRowHeight="14.4" x14ac:dyDescent="0.3"/>
  <cols>
    <col min="2" max="2" width="24.109375" bestFit="1" customWidth="1"/>
    <col min="3" max="4" width="11.6640625" customWidth="1"/>
    <col min="5" max="5" width="9.6640625" hidden="1" customWidth="1"/>
    <col min="6" max="6" width="9.6640625" customWidth="1"/>
    <col min="7" max="7" width="14.109375" bestFit="1" customWidth="1"/>
    <col min="8" max="9" width="12.88671875" bestFit="1" customWidth="1"/>
    <col min="10" max="10" width="13.33203125" customWidth="1"/>
    <col min="11" max="11" width="14.109375" bestFit="1" customWidth="1"/>
    <col min="12" max="12" width="10.6640625" customWidth="1"/>
    <col min="13" max="13" width="12.88671875" bestFit="1" customWidth="1"/>
    <col min="14" max="14" width="17.5546875" customWidth="1"/>
    <col min="15" max="16" width="11.88671875" bestFit="1" customWidth="1"/>
    <col min="17" max="17" width="12.88671875" bestFit="1" customWidth="1"/>
    <col min="18" max="18" width="14.109375" bestFit="1" customWidth="1"/>
    <col min="19" max="19" width="12" customWidth="1"/>
    <col min="20" max="20" width="11.33203125" customWidth="1"/>
    <col min="21" max="21" width="11.5546875" bestFit="1" customWidth="1"/>
    <col min="22" max="23" width="15.6640625" customWidth="1"/>
    <col min="24" max="24" width="17.6640625" bestFit="1" customWidth="1"/>
    <col min="25" max="25" width="11.88671875" bestFit="1" customWidth="1"/>
    <col min="26" max="26" width="14.109375" bestFit="1" customWidth="1"/>
    <col min="27" max="27" width="15.109375" bestFit="1" customWidth="1"/>
    <col min="28" max="28" width="11.33203125" customWidth="1"/>
    <col min="29" max="29" width="14.109375" bestFit="1" customWidth="1"/>
    <col min="30" max="31" width="12.88671875" bestFit="1" customWidth="1"/>
    <col min="32" max="32" width="36.88671875" bestFit="1" customWidth="1"/>
    <col min="33" max="34" width="14.109375" bestFit="1" customWidth="1"/>
    <col min="35" max="35" width="12.88671875" bestFit="1" customWidth="1"/>
    <col min="36" max="36" width="15.109375" bestFit="1" customWidth="1"/>
    <col min="37" max="37" width="11.88671875" bestFit="1" customWidth="1"/>
    <col min="38" max="38" width="12.6640625" customWidth="1"/>
    <col min="39" max="39" width="12.88671875" bestFit="1" customWidth="1"/>
    <col min="40" max="40" width="11.88671875" bestFit="1" customWidth="1"/>
    <col min="41" max="43" width="10.6640625" customWidth="1"/>
    <col min="44" max="44" width="12.88671875" bestFit="1" customWidth="1"/>
    <col min="45" max="45" width="11.88671875" bestFit="1" customWidth="1"/>
    <col min="46" max="46" width="10.6640625" bestFit="1" customWidth="1"/>
    <col min="47" max="47" width="11.88671875" bestFit="1" customWidth="1"/>
    <col min="48" max="48" width="9.88671875" customWidth="1"/>
    <col min="49" max="50" width="15.109375" bestFit="1" customWidth="1"/>
    <col min="51" max="51" width="8.6640625" bestFit="1" customWidth="1"/>
    <col min="52" max="52" width="9.33203125" bestFit="1" customWidth="1"/>
    <col min="53" max="53" width="8.6640625" bestFit="1" customWidth="1"/>
    <col min="54" max="54" width="12.33203125" customWidth="1"/>
    <col min="57" max="57" width="23.88671875" bestFit="1" customWidth="1"/>
    <col min="63" max="63" width="12.6640625" customWidth="1"/>
  </cols>
  <sheetData>
    <row r="1" spans="1:80" s="5" customFormat="1" ht="15.6" x14ac:dyDescent="0.3">
      <c r="A1" s="1" t="s">
        <v>0</v>
      </c>
      <c r="B1" s="2"/>
      <c r="C1" s="2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80" x14ac:dyDescent="0.3">
      <c r="A2" s="9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8"/>
    </row>
    <row r="3" spans="1:80" ht="14.7" customHeight="1" x14ac:dyDescent="0.3">
      <c r="A3" s="9"/>
      <c r="B3" s="188"/>
      <c r="C3" s="353" t="s">
        <v>200</v>
      </c>
      <c r="D3" s="354"/>
      <c r="E3" s="354"/>
      <c r="F3" s="355"/>
      <c r="G3" s="350" t="s">
        <v>170</v>
      </c>
      <c r="H3" s="350"/>
      <c r="I3" s="350"/>
      <c r="J3" s="350"/>
      <c r="K3" s="350"/>
      <c r="L3" s="350"/>
      <c r="M3" s="356"/>
      <c r="N3" s="11" t="s">
        <v>6</v>
      </c>
      <c r="O3" s="349" t="s">
        <v>7</v>
      </c>
      <c r="P3" s="350"/>
      <c r="Q3" s="356"/>
      <c r="R3" s="349" t="s">
        <v>171</v>
      </c>
      <c r="S3" s="350"/>
      <c r="T3" s="350"/>
      <c r="U3" s="350"/>
      <c r="V3" s="350"/>
      <c r="W3" s="350"/>
      <c r="X3" s="350"/>
      <c r="Y3" s="356"/>
      <c r="Z3" s="349" t="s">
        <v>172</v>
      </c>
      <c r="AA3" s="350"/>
      <c r="AB3" s="356"/>
      <c r="AC3" s="349" t="s">
        <v>173</v>
      </c>
      <c r="AD3" s="350"/>
      <c r="AE3" s="350"/>
      <c r="AF3" s="12" t="s">
        <v>11</v>
      </c>
      <c r="AG3" s="346" t="s">
        <v>170</v>
      </c>
      <c r="AH3" s="347"/>
      <c r="AI3" s="347"/>
      <c r="AJ3" s="347"/>
      <c r="AK3" s="347"/>
      <c r="AL3" s="347"/>
      <c r="AM3" s="348"/>
      <c r="AN3" s="13"/>
      <c r="AO3" s="346" t="s">
        <v>7</v>
      </c>
      <c r="AP3" s="347"/>
      <c r="AQ3" s="348"/>
      <c r="AR3" s="346" t="s">
        <v>171</v>
      </c>
      <c r="AS3" s="347"/>
      <c r="AT3" s="347"/>
      <c r="AU3" s="347"/>
      <c r="AV3" s="347"/>
      <c r="AW3" s="347"/>
      <c r="AX3" s="347"/>
      <c r="AY3" s="348"/>
      <c r="AZ3" s="346" t="s">
        <v>174</v>
      </c>
      <c r="BA3" s="348"/>
      <c r="BB3" s="14" t="s">
        <v>175</v>
      </c>
    </row>
    <row r="4" spans="1:80" s="16" customFormat="1" ht="43.2" customHeight="1" x14ac:dyDescent="0.3">
      <c r="A4" s="18" t="s">
        <v>19</v>
      </c>
      <c r="B4" s="190" t="s">
        <v>20</v>
      </c>
      <c r="C4" s="19" t="s">
        <v>21</v>
      </c>
      <c r="D4" s="20" t="s">
        <v>22</v>
      </c>
      <c r="E4" s="253" t="s">
        <v>23</v>
      </c>
      <c r="F4" s="254" t="s">
        <v>24</v>
      </c>
      <c r="G4" s="22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3" t="s">
        <v>31</v>
      </c>
      <c r="N4" s="297" t="s">
        <v>32</v>
      </c>
      <c r="O4" s="25" t="s">
        <v>33</v>
      </c>
      <c r="P4" s="22" t="s">
        <v>34</v>
      </c>
      <c r="Q4" s="23" t="s">
        <v>35</v>
      </c>
      <c r="R4" s="25" t="s">
        <v>36</v>
      </c>
      <c r="S4" s="22" t="s">
        <v>37</v>
      </c>
      <c r="T4" s="22" t="s">
        <v>38</v>
      </c>
      <c r="U4" s="22" t="s">
        <v>39</v>
      </c>
      <c r="V4" s="22" t="s">
        <v>40</v>
      </c>
      <c r="W4" s="22" t="s">
        <v>41</v>
      </c>
      <c r="X4" s="22" t="s">
        <v>42</v>
      </c>
      <c r="Y4" s="23" t="s">
        <v>43</v>
      </c>
      <c r="Z4" s="26" t="s">
        <v>44</v>
      </c>
      <c r="AA4" s="22" t="s">
        <v>45</v>
      </c>
      <c r="AB4" s="27" t="s">
        <v>46</v>
      </c>
      <c r="AC4" s="25" t="s">
        <v>47</v>
      </c>
      <c r="AD4" s="22" t="s">
        <v>48</v>
      </c>
      <c r="AE4" s="22" t="s">
        <v>49</v>
      </c>
      <c r="AF4" s="28" t="s">
        <v>20</v>
      </c>
      <c r="AG4" s="29" t="s">
        <v>25</v>
      </c>
      <c r="AH4" s="30" t="s">
        <v>26</v>
      </c>
      <c r="AI4" s="30" t="s">
        <v>27</v>
      </c>
      <c r="AJ4" s="30" t="s">
        <v>28</v>
      </c>
      <c r="AK4" s="30" t="s">
        <v>29</v>
      </c>
      <c r="AL4" s="30" t="s">
        <v>30</v>
      </c>
      <c r="AM4" s="27" t="s">
        <v>31</v>
      </c>
      <c r="AN4" s="31" t="s">
        <v>32</v>
      </c>
      <c r="AO4" s="29" t="s">
        <v>33</v>
      </c>
      <c r="AP4" s="30" t="s">
        <v>34</v>
      </c>
      <c r="AQ4" s="27" t="s">
        <v>35</v>
      </c>
      <c r="AR4" s="29" t="s">
        <v>36</v>
      </c>
      <c r="AS4" s="30" t="s">
        <v>37</v>
      </c>
      <c r="AT4" s="30" t="s">
        <v>38</v>
      </c>
      <c r="AU4" s="30" t="s">
        <v>39</v>
      </c>
      <c r="AV4" s="30" t="s">
        <v>40</v>
      </c>
      <c r="AW4" s="30" t="s">
        <v>41</v>
      </c>
      <c r="AX4" s="30" t="s">
        <v>42</v>
      </c>
      <c r="AY4" s="27" t="s">
        <v>43</v>
      </c>
      <c r="AZ4" s="29" t="s">
        <v>44</v>
      </c>
      <c r="BA4" s="27" t="s">
        <v>45</v>
      </c>
      <c r="BB4" s="27" t="s">
        <v>46</v>
      </c>
      <c r="BD4" s="32" t="s">
        <v>50</v>
      </c>
      <c r="BE4" s="33" t="s">
        <v>51</v>
      </c>
      <c r="BF4" s="34" t="str">
        <f>G4</f>
        <v>Bemesting
actueel</v>
      </c>
      <c r="BG4" s="34" t="str">
        <f t="shared" ref="BG4:BY4" si="0">H4</f>
        <v>Bemesting
historisch</v>
      </c>
      <c r="BH4" s="34" t="str">
        <f t="shared" si="0"/>
        <v>Depositie</v>
      </c>
      <c r="BI4" s="34" t="str">
        <f t="shared" si="0"/>
        <v>Infiltratie</v>
      </c>
      <c r="BJ4" s="34" t="str">
        <f t="shared" si="0"/>
        <v>Kwel</v>
      </c>
      <c r="BK4" s="34" t="str">
        <f t="shared" si="0"/>
        <v>Mineralisatie
en uitloging</v>
      </c>
      <c r="BL4" s="34" t="str">
        <f t="shared" si="0"/>
        <v>Natuur-
gronden</v>
      </c>
      <c r="BM4" s="34" t="str">
        <f t="shared" si="0"/>
        <v>Directe kwel</v>
      </c>
      <c r="BN4" s="34" t="str">
        <f t="shared" si="0"/>
        <v>Erfaf-
spoeling</v>
      </c>
      <c r="BO4" s="34" t="str">
        <f t="shared" si="0"/>
        <v>Glas-
tuinbouw</v>
      </c>
      <c r="BP4" s="34" t="str">
        <f t="shared" si="0"/>
        <v>Mee-
mesten</v>
      </c>
      <c r="BQ4" s="34" t="str">
        <f t="shared" si="0"/>
        <v>RWZI</v>
      </c>
      <c r="BR4" s="34" t="str">
        <f t="shared" si="0"/>
        <v>Industrie</v>
      </c>
      <c r="BS4" s="34" t="str">
        <f t="shared" si="0"/>
        <v>Depositie
open water</v>
      </c>
      <c r="BT4" s="34" t="str">
        <f t="shared" si="0"/>
        <v>Overstort</v>
      </c>
      <c r="BU4" s="34" t="str">
        <f t="shared" si="0"/>
        <v>Regen
waterriolen</v>
      </c>
      <c r="BV4" s="34" t="str">
        <f t="shared" si="0"/>
        <v>Water-
vogels</v>
      </c>
      <c r="BW4" s="34" t="str">
        <f t="shared" si="0"/>
        <v>Binnen-
vaart</v>
      </c>
      <c r="BX4" s="34" t="str">
        <f t="shared" si="0"/>
        <v>Overige</v>
      </c>
      <c r="BY4" s="34" t="str">
        <f t="shared" si="0"/>
        <v>Inlaat Rijkswater</v>
      </c>
      <c r="BZ4" s="35" t="s">
        <v>52</v>
      </c>
      <c r="CA4" s="359" t="s">
        <v>176</v>
      </c>
      <c r="CB4" s="360"/>
    </row>
    <row r="5" spans="1:80" x14ac:dyDescent="0.3">
      <c r="A5" s="57">
        <v>37101</v>
      </c>
      <c r="B5" s="188" t="s">
        <v>75</v>
      </c>
      <c r="C5" s="88">
        <f t="shared" ref="C5:C18" si="1">(SUMPRODUCT(G5:AA5,$G$19:$AA$19)+SUMPRODUCT(AG5:BA5,$AG$19:$BA$19))/AC5</f>
        <v>0.89946516508038288</v>
      </c>
      <c r="D5" s="258">
        <f>C5*F5</f>
        <v>1.5215770072562302</v>
      </c>
      <c r="E5" s="262">
        <v>2</v>
      </c>
      <c r="F5" s="260">
        <v>1.6916463986909942</v>
      </c>
      <c r="G5" s="61">
        <v>11167.95546206321</v>
      </c>
      <c r="H5" s="61">
        <v>1903.0002699458501</v>
      </c>
      <c r="I5" s="61">
        <v>1177.228097081319</v>
      </c>
      <c r="J5" s="61">
        <v>32.355330326916487</v>
      </c>
      <c r="K5" s="61">
        <v>7933.612802565387</v>
      </c>
      <c r="L5" s="61">
        <v>3767.2238974126071</v>
      </c>
      <c r="M5" s="62">
        <v>27145.198700282621</v>
      </c>
      <c r="N5" s="63">
        <v>92422.893484164597</v>
      </c>
      <c r="O5" s="64">
        <v>552.78121939528569</v>
      </c>
      <c r="P5" s="61">
        <v>0</v>
      </c>
      <c r="Q5" s="62">
        <v>1451.5184598377141</v>
      </c>
      <c r="R5" s="64">
        <v>0</v>
      </c>
      <c r="S5" s="61">
        <v>0</v>
      </c>
      <c r="T5" s="61">
        <v>6518.1669275880004</v>
      </c>
      <c r="U5" s="61">
        <v>18.701682823371431</v>
      </c>
      <c r="V5" s="61">
        <v>494.93513171359001</v>
      </c>
      <c r="W5" s="61">
        <v>41.8629606493</v>
      </c>
      <c r="X5" s="61">
        <v>0</v>
      </c>
      <c r="Y5" s="62">
        <v>215.8173979676757</v>
      </c>
      <c r="Z5" s="65">
        <v>0</v>
      </c>
      <c r="AA5" s="61"/>
      <c r="AB5" s="66">
        <f>SUM(AG5:BA5)</f>
        <v>0</v>
      </c>
      <c r="AC5" s="64">
        <f>SUM(G5:AB5)</f>
        <v>154843.25182381747</v>
      </c>
      <c r="AD5" s="61">
        <v>49417.771702803497</v>
      </c>
      <c r="AE5" s="62">
        <f>AC5-AD5</f>
        <v>105425.48012101397</v>
      </c>
      <c r="AF5" s="67" t="s">
        <v>76</v>
      </c>
      <c r="AG5" s="68"/>
      <c r="AH5" s="69"/>
      <c r="AI5" s="69"/>
      <c r="AJ5" s="69"/>
      <c r="AK5" s="69"/>
      <c r="AL5" s="69"/>
      <c r="AM5" s="66"/>
      <c r="AN5" s="69"/>
      <c r="AO5" s="68"/>
      <c r="AP5" s="69"/>
      <c r="AQ5" s="66"/>
      <c r="AR5" s="68"/>
      <c r="AS5" s="69"/>
      <c r="AT5" s="69"/>
      <c r="AU5" s="69"/>
      <c r="AV5" s="69"/>
      <c r="AW5" s="69"/>
      <c r="AX5" s="69"/>
      <c r="AY5" s="66"/>
      <c r="AZ5" s="68"/>
      <c r="BA5" s="66"/>
      <c r="BB5" s="70"/>
      <c r="BC5" s="10"/>
      <c r="BD5" s="71">
        <f t="shared" ref="BD5:BE18" si="2">A5</f>
        <v>37101</v>
      </c>
      <c r="BE5" s="8" t="str">
        <f t="shared" si="2"/>
        <v>Tochten ABC1</v>
      </c>
      <c r="BF5" s="7">
        <f>(G5+AG5)/$AC5</f>
        <v>7.212426328252422E-2</v>
      </c>
      <c r="BG5" s="7">
        <f t="shared" ref="BG5:BV18" si="3">(H5+AH5)/$AC5</f>
        <v>1.2289849557739247E-2</v>
      </c>
      <c r="BH5" s="7">
        <f t="shared" si="3"/>
        <v>7.6027084371799647E-3</v>
      </c>
      <c r="BI5" s="7">
        <f t="shared" si="3"/>
        <v>2.0895537871893038E-4</v>
      </c>
      <c r="BJ5" s="7">
        <f t="shared" si="3"/>
        <v>5.1236413011994532E-2</v>
      </c>
      <c r="BK5" s="7">
        <f t="shared" si="3"/>
        <v>2.4329273978946141E-2</v>
      </c>
      <c r="BL5" s="7">
        <f t="shared" si="3"/>
        <v>0.17530759901095824</v>
      </c>
      <c r="BM5" s="7">
        <f t="shared" si="3"/>
        <v>0.59688034444874927</v>
      </c>
      <c r="BN5" s="7">
        <f t="shared" si="3"/>
        <v>3.5699406521392798E-3</v>
      </c>
      <c r="BO5" s="7">
        <f t="shared" si="3"/>
        <v>0</v>
      </c>
      <c r="BP5" s="7">
        <f t="shared" si="3"/>
        <v>9.3741150663076318E-3</v>
      </c>
      <c r="BQ5" s="7">
        <f t="shared" si="3"/>
        <v>0</v>
      </c>
      <c r="BR5" s="7">
        <f t="shared" si="3"/>
        <v>0</v>
      </c>
      <c r="BS5" s="7">
        <f t="shared" si="3"/>
        <v>4.2095259889042176E-2</v>
      </c>
      <c r="BT5" s="7">
        <f t="shared" si="3"/>
        <v>1.2077815857710372E-4</v>
      </c>
      <c r="BU5" s="7">
        <f t="shared" si="3"/>
        <v>3.1963622946690191E-3</v>
      </c>
      <c r="BV5" s="7">
        <f t="shared" si="3"/>
        <v>2.703570233524428E-4</v>
      </c>
      <c r="BW5" s="7">
        <f t="shared" ref="BW5:BY18" si="4">(X5+AX5)/$AC5</f>
        <v>0</v>
      </c>
      <c r="BX5" s="7">
        <f t="shared" si="4"/>
        <v>1.3937798091016285E-3</v>
      </c>
      <c r="BY5" s="7">
        <f t="shared" si="4"/>
        <v>0</v>
      </c>
      <c r="BZ5" s="72">
        <f>SUM(BF5:BY5)</f>
        <v>0.99999999999999967</v>
      </c>
      <c r="CA5" s="261">
        <f>SUMPRODUCT(BF5:BY5,BF19:BY19)</f>
        <v>0.89946516508038277</v>
      </c>
      <c r="CB5" s="74">
        <f>C5-CA5</f>
        <v>0</v>
      </c>
    </row>
    <row r="6" spans="1:80" x14ac:dyDescent="0.3">
      <c r="A6" s="91">
        <v>37102</v>
      </c>
      <c r="B6" t="s">
        <v>77</v>
      </c>
      <c r="C6" s="88">
        <f t="shared" si="1"/>
        <v>0.86518716162922682</v>
      </c>
      <c r="D6" s="258">
        <f t="shared" ref="D6:D18" si="5">C6*F6</f>
        <v>2.3848217923506265</v>
      </c>
      <c r="E6" s="262">
        <v>2.4</v>
      </c>
      <c r="F6" s="260">
        <v>2.7564230008450292</v>
      </c>
      <c r="G6" s="8">
        <v>39341.053060536127</v>
      </c>
      <c r="H6" s="8">
        <v>10734.58948542584</v>
      </c>
      <c r="I6" s="8">
        <v>10999.10096417669</v>
      </c>
      <c r="J6" s="8">
        <v>75.375364989365394</v>
      </c>
      <c r="K6" s="8">
        <v>43251.459276301597</v>
      </c>
      <c r="L6" s="8">
        <v>29753.695420466171</v>
      </c>
      <c r="M6" s="95">
        <v>8032.616134811683</v>
      </c>
      <c r="N6" s="96">
        <v>228763.54517519599</v>
      </c>
      <c r="O6" s="71">
        <v>1127.1246406109999</v>
      </c>
      <c r="P6" s="8">
        <v>0</v>
      </c>
      <c r="Q6" s="95">
        <v>3158.3685691780001</v>
      </c>
      <c r="R6" s="71">
        <v>0</v>
      </c>
      <c r="S6" s="8">
        <v>0</v>
      </c>
      <c r="T6" s="8">
        <v>13694.716180324</v>
      </c>
      <c r="U6" s="8">
        <v>42.286498384214291</v>
      </c>
      <c r="V6" s="8">
        <v>963.9495035072672</v>
      </c>
      <c r="W6" s="8">
        <v>83.498103781700024</v>
      </c>
      <c r="X6" s="8">
        <v>0</v>
      </c>
      <c r="Y6" s="95">
        <v>434.78717665162429</v>
      </c>
      <c r="Z6" s="97">
        <v>0</v>
      </c>
      <c r="AA6" s="8"/>
      <c r="AB6" s="98">
        <f t="shared" ref="AB6:AB18" si="6">SUM(AG6:BA6)</f>
        <v>105425.48012101393</v>
      </c>
      <c r="AC6" s="71">
        <f t="shared" ref="AC6:AC18" si="7">SUM(G6:AB6)</f>
        <v>495881.64567535522</v>
      </c>
      <c r="AD6" s="8">
        <v>32917.923902866001</v>
      </c>
      <c r="AE6" s="95">
        <f t="shared" ref="AE6:AE18" si="8">AC6-AD6</f>
        <v>462963.7217724892</v>
      </c>
      <c r="AF6" s="99" t="s">
        <v>78</v>
      </c>
      <c r="AG6" s="100">
        <v>8461.226511329196</v>
      </c>
      <c r="AH6" s="101">
        <v>1435.0387249420071</v>
      </c>
      <c r="AI6" s="101">
        <v>873.61137979687601</v>
      </c>
      <c r="AJ6" s="101">
        <v>25.03474516414574</v>
      </c>
      <c r="AK6" s="101">
        <v>5649.0786410529236</v>
      </c>
      <c r="AL6" s="101">
        <v>2849.8919748905541</v>
      </c>
      <c r="AM6" s="98">
        <v>20478.695069105259</v>
      </c>
      <c r="AN6" s="101">
        <v>59647.51446444817</v>
      </c>
      <c r="AO6" s="100">
        <v>356.48173775976852</v>
      </c>
      <c r="AP6" s="101">
        <v>0</v>
      </c>
      <c r="AQ6" s="98">
        <v>937.3979655299778</v>
      </c>
      <c r="AR6" s="100">
        <v>0</v>
      </c>
      <c r="AS6" s="101">
        <v>0</v>
      </c>
      <c r="AT6" s="101">
        <v>4206.7165514435692</v>
      </c>
      <c r="AU6" s="101">
        <v>12.35360629603807</v>
      </c>
      <c r="AV6" s="101">
        <v>325.35618636050282</v>
      </c>
      <c r="AW6" s="101">
        <v>27.01734880526735</v>
      </c>
      <c r="AX6" s="101">
        <v>0</v>
      </c>
      <c r="AY6" s="98">
        <v>140.06521408968339</v>
      </c>
      <c r="AZ6" s="100">
        <v>0</v>
      </c>
      <c r="BA6" s="98"/>
      <c r="BB6" s="102">
        <f t="shared" ref="BB6:BB18" si="9">SUM(AG6:BA6)</f>
        <v>105425.48012101393</v>
      </c>
      <c r="BC6" s="10"/>
      <c r="BD6" s="71">
        <f t="shared" si="2"/>
        <v>37102</v>
      </c>
      <c r="BE6" s="8" t="str">
        <f t="shared" si="2"/>
        <v>Tochten ABC2</v>
      </c>
      <c r="BF6" s="7">
        <f t="shared" ref="BF6:BF18" si="10">(G6+AG6)/$AC6</f>
        <v>9.639856604646467E-2</v>
      </c>
      <c r="BG6" s="7">
        <f t="shared" si="3"/>
        <v>2.4541396755658675E-2</v>
      </c>
      <c r="BH6" s="7">
        <f t="shared" si="3"/>
        <v>2.3942633181762121E-2</v>
      </c>
      <c r="BI6" s="7">
        <f t="shared" si="3"/>
        <v>2.024880554245152E-4</v>
      </c>
      <c r="BJ6" s="7">
        <f t="shared" si="3"/>
        <v>9.861332506218394E-2</v>
      </c>
      <c r="BK6" s="7">
        <f t="shared" si="3"/>
        <v>6.5748727906541043E-2</v>
      </c>
      <c r="BL6" s="7">
        <f t="shared" si="3"/>
        <v>5.7496201871086762E-2</v>
      </c>
      <c r="BM6" s="7">
        <f t="shared" si="3"/>
        <v>0.58161269358306056</v>
      </c>
      <c r="BN6" s="7">
        <f t="shared" si="3"/>
        <v>2.9918558012975113E-3</v>
      </c>
      <c r="BO6" s="7">
        <f t="shared" si="3"/>
        <v>0</v>
      </c>
      <c r="BP6" s="7">
        <f t="shared" si="3"/>
        <v>8.2595646973983843E-3</v>
      </c>
      <c r="BQ6" s="7">
        <f t="shared" si="3"/>
        <v>0</v>
      </c>
      <c r="BR6" s="7">
        <f t="shared" si="3"/>
        <v>0</v>
      </c>
      <c r="BS6" s="7">
        <f t="shared" si="3"/>
        <v>3.6100212395211974E-2</v>
      </c>
      <c r="BT6" s="7">
        <f t="shared" si="3"/>
        <v>1.101877941173573E-4</v>
      </c>
      <c r="BU6" s="7">
        <f t="shared" si="3"/>
        <v>2.6000270449853579E-3</v>
      </c>
      <c r="BV6" s="7">
        <f t="shared" si="3"/>
        <v>2.2286659236288783E-4</v>
      </c>
      <c r="BW6" s="7">
        <f t="shared" si="4"/>
        <v>0</v>
      </c>
      <c r="BX6" s="7">
        <f t="shared" si="4"/>
        <v>1.1592532124442717E-3</v>
      </c>
      <c r="BY6" s="7">
        <f t="shared" si="4"/>
        <v>0</v>
      </c>
      <c r="BZ6" s="72">
        <f t="shared" ref="BZ6:BZ36" si="11">SUM(BF6:BY6)</f>
        <v>1</v>
      </c>
      <c r="CA6" s="261">
        <f t="shared" ref="CA6:CA12" si="12">SUMPRODUCT(BF6:BY6,$BF$19:$BY$19)</f>
        <v>0.86518716162922682</v>
      </c>
      <c r="CB6" s="74">
        <f t="shared" ref="CB6:CB18" si="13">C6-CA6</f>
        <v>0</v>
      </c>
    </row>
    <row r="7" spans="1:80" x14ac:dyDescent="0.3">
      <c r="A7" s="91">
        <v>37103</v>
      </c>
      <c r="B7" t="s">
        <v>79</v>
      </c>
      <c r="C7" s="88">
        <f t="shared" si="1"/>
        <v>0.77904559322312827</v>
      </c>
      <c r="D7" s="258">
        <f t="shared" si="5"/>
        <v>1.1244224728853818</v>
      </c>
      <c r="E7" s="262">
        <v>4</v>
      </c>
      <c r="F7" s="260">
        <v>1.4433333333333334</v>
      </c>
      <c r="G7" s="8">
        <v>12684.303596141701</v>
      </c>
      <c r="H7" s="8">
        <v>2015.757497164037</v>
      </c>
      <c r="I7" s="8">
        <v>3526.7819512903839</v>
      </c>
      <c r="J7" s="8">
        <v>13.37982040470094</v>
      </c>
      <c r="K7" s="8">
        <v>16187.61847607589</v>
      </c>
      <c r="L7" s="8">
        <v>5605.5581804430549</v>
      </c>
      <c r="M7" s="95">
        <v>47573.174826320581</v>
      </c>
      <c r="N7" s="96">
        <v>10794.22202749676</v>
      </c>
      <c r="O7" s="71">
        <v>312.85128745142862</v>
      </c>
      <c r="P7" s="8">
        <v>43.074787102542857</v>
      </c>
      <c r="Q7" s="95">
        <v>1117.8411516242861</v>
      </c>
      <c r="R7" s="71">
        <v>0</v>
      </c>
      <c r="S7" s="8">
        <v>0</v>
      </c>
      <c r="T7" s="8">
        <v>21877.384056999999</v>
      </c>
      <c r="U7" s="8">
        <v>0</v>
      </c>
      <c r="V7" s="8">
        <v>31796.19410761429</v>
      </c>
      <c r="W7" s="8">
        <v>2314.7654894347002</v>
      </c>
      <c r="X7" s="8">
        <v>59.770127199014283</v>
      </c>
      <c r="Y7" s="95">
        <v>1993.2262087707859</v>
      </c>
      <c r="Z7" s="97">
        <v>659.99555760368037</v>
      </c>
      <c r="AA7" s="8"/>
      <c r="AB7" s="98">
        <f t="shared" si="6"/>
        <v>0</v>
      </c>
      <c r="AC7" s="71">
        <f t="shared" si="7"/>
        <v>158575.89914913784</v>
      </c>
      <c r="AD7" s="8">
        <v>93213.423002228112</v>
      </c>
      <c r="AE7" s="95">
        <f t="shared" si="8"/>
        <v>65362.476146909728</v>
      </c>
      <c r="AF7" s="99" t="s">
        <v>80</v>
      </c>
      <c r="AG7" s="100">
        <v>0</v>
      </c>
      <c r="AH7" s="101">
        <v>0</v>
      </c>
      <c r="AI7" s="101">
        <v>0</v>
      </c>
      <c r="AJ7" s="101">
        <v>0</v>
      </c>
      <c r="AK7" s="101">
        <v>0</v>
      </c>
      <c r="AL7" s="101">
        <v>0</v>
      </c>
      <c r="AM7" s="98">
        <v>0</v>
      </c>
      <c r="AN7" s="101">
        <v>0</v>
      </c>
      <c r="AO7" s="100">
        <v>0</v>
      </c>
      <c r="AP7" s="101">
        <v>0</v>
      </c>
      <c r="AQ7" s="98">
        <v>0</v>
      </c>
      <c r="AR7" s="100">
        <v>0</v>
      </c>
      <c r="AS7" s="101">
        <v>0</v>
      </c>
      <c r="AT7" s="101">
        <v>0</v>
      </c>
      <c r="AU7" s="101">
        <v>0</v>
      </c>
      <c r="AV7" s="101">
        <v>0</v>
      </c>
      <c r="AW7" s="101">
        <v>0</v>
      </c>
      <c r="AX7" s="101">
        <v>0</v>
      </c>
      <c r="AY7" s="98">
        <v>0</v>
      </c>
      <c r="AZ7" s="100">
        <v>0</v>
      </c>
      <c r="BA7" s="98"/>
      <c r="BB7" s="102"/>
      <c r="BC7" s="10"/>
      <c r="BD7" s="71">
        <f t="shared" si="2"/>
        <v>37103</v>
      </c>
      <c r="BE7" s="8" t="str">
        <f t="shared" si="2"/>
        <v>Tochten DE Almere</v>
      </c>
      <c r="BF7" s="7">
        <f t="shared" si="10"/>
        <v>7.9988848647248326E-2</v>
      </c>
      <c r="BG7" s="7">
        <f t="shared" si="3"/>
        <v>1.2711625839612944E-2</v>
      </c>
      <c r="BH7" s="7">
        <f t="shared" si="3"/>
        <v>2.2240340242204823E-2</v>
      </c>
      <c r="BI7" s="7">
        <f t="shared" si="3"/>
        <v>8.4374867028926345E-5</v>
      </c>
      <c r="BJ7" s="7">
        <f t="shared" si="3"/>
        <v>0.1020812025215239</v>
      </c>
      <c r="BK7" s="7">
        <f t="shared" si="3"/>
        <v>3.5349370304822464E-2</v>
      </c>
      <c r="BL7" s="7">
        <f t="shared" si="3"/>
        <v>0.30000255449649915</v>
      </c>
      <c r="BM7" s="7">
        <f t="shared" si="3"/>
        <v>6.8069751364581474E-2</v>
      </c>
      <c r="BN7" s="7">
        <f t="shared" si="3"/>
        <v>1.9728804259037968E-3</v>
      </c>
      <c r="BO7" s="7">
        <f t="shared" si="3"/>
        <v>2.7163514338349599E-4</v>
      </c>
      <c r="BP7" s="7">
        <f t="shared" si="3"/>
        <v>7.0492499656141074E-3</v>
      </c>
      <c r="BQ7" s="7">
        <f t="shared" si="3"/>
        <v>0</v>
      </c>
      <c r="BR7" s="7">
        <f t="shared" si="3"/>
        <v>0</v>
      </c>
      <c r="BS7" s="7">
        <f t="shared" si="3"/>
        <v>0.13796159551600401</v>
      </c>
      <c r="BT7" s="7">
        <f t="shared" si="3"/>
        <v>0</v>
      </c>
      <c r="BU7" s="7">
        <f t="shared" si="3"/>
        <v>0.20051088644757126</v>
      </c>
      <c r="BV7" s="7">
        <f t="shared" si="3"/>
        <v>1.4597208666984786E-2</v>
      </c>
      <c r="BW7" s="7">
        <f t="shared" si="4"/>
        <v>3.7691810369494755E-4</v>
      </c>
      <c r="BX7" s="7">
        <f t="shared" si="4"/>
        <v>1.2569540639313618E-2</v>
      </c>
      <c r="BY7" s="7">
        <f t="shared" si="4"/>
        <v>4.1620168080079194E-3</v>
      </c>
      <c r="BZ7" s="72">
        <f t="shared" si="11"/>
        <v>1</v>
      </c>
      <c r="CA7" s="261">
        <f t="shared" si="12"/>
        <v>0.77904559322312839</v>
      </c>
      <c r="CB7" s="74">
        <f t="shared" si="13"/>
        <v>0</v>
      </c>
    </row>
    <row r="8" spans="1:80" x14ac:dyDescent="0.3">
      <c r="A8" s="91">
        <v>37104</v>
      </c>
      <c r="B8" t="s">
        <v>81</v>
      </c>
      <c r="C8" s="88">
        <f t="shared" si="1"/>
        <v>0.8031977281199727</v>
      </c>
      <c r="D8" s="258">
        <f t="shared" si="5"/>
        <v>5.5319956667931649</v>
      </c>
      <c r="E8" s="262">
        <v>4</v>
      </c>
      <c r="F8" s="260">
        <v>6.8874642857142856</v>
      </c>
      <c r="G8" s="8">
        <v>18316.34639323677</v>
      </c>
      <c r="H8" s="8">
        <v>6583.881927684306</v>
      </c>
      <c r="I8" s="8">
        <v>8241.0614847321485</v>
      </c>
      <c r="J8" s="8">
        <v>26.153293038913748</v>
      </c>
      <c r="K8" s="8">
        <v>10441.11790503108</v>
      </c>
      <c r="L8" s="8">
        <v>21103.682245627639</v>
      </c>
      <c r="M8" s="95">
        <v>20158.604038548241</v>
      </c>
      <c r="N8" s="96">
        <v>63578.05336291634</v>
      </c>
      <c r="O8" s="71">
        <v>1333.734435977143</v>
      </c>
      <c r="P8" s="8">
        <v>31.178144578885711</v>
      </c>
      <c r="Q8" s="95">
        <v>2082.1704124757139</v>
      </c>
      <c r="R8" s="71">
        <v>0</v>
      </c>
      <c r="S8" s="8">
        <v>0</v>
      </c>
      <c r="T8" s="8">
        <v>13720.761801000001</v>
      </c>
      <c r="U8" s="8">
        <v>0</v>
      </c>
      <c r="V8" s="8">
        <v>12649.166210957141</v>
      </c>
      <c r="W8" s="8">
        <v>65.997187395300003</v>
      </c>
      <c r="X8" s="8">
        <v>61.977300600985721</v>
      </c>
      <c r="Y8" s="95">
        <v>151.22931017207139</v>
      </c>
      <c r="Z8" s="97">
        <v>0</v>
      </c>
      <c r="AA8" s="8"/>
      <c r="AB8" s="98">
        <f t="shared" si="6"/>
        <v>0</v>
      </c>
      <c r="AC8" s="71">
        <f t="shared" si="7"/>
        <v>178545.11545397268</v>
      </c>
      <c r="AD8" s="8">
        <v>38875.8517640387</v>
      </c>
      <c r="AE8" s="95">
        <f t="shared" si="8"/>
        <v>139669.26368993399</v>
      </c>
      <c r="AF8" s="99" t="s">
        <v>82</v>
      </c>
      <c r="AG8" s="100">
        <v>0</v>
      </c>
      <c r="AH8" s="101">
        <v>0</v>
      </c>
      <c r="AI8" s="101">
        <v>0</v>
      </c>
      <c r="AJ8" s="101">
        <v>0</v>
      </c>
      <c r="AK8" s="101">
        <v>0</v>
      </c>
      <c r="AL8" s="101">
        <v>0</v>
      </c>
      <c r="AM8" s="98">
        <v>0</v>
      </c>
      <c r="AN8" s="101">
        <v>0</v>
      </c>
      <c r="AO8" s="100">
        <v>0</v>
      </c>
      <c r="AP8" s="101">
        <v>0</v>
      </c>
      <c r="AQ8" s="98">
        <v>0</v>
      </c>
      <c r="AR8" s="100">
        <v>0</v>
      </c>
      <c r="AS8" s="101">
        <v>0</v>
      </c>
      <c r="AT8" s="101">
        <v>0</v>
      </c>
      <c r="AU8" s="101">
        <v>0</v>
      </c>
      <c r="AV8" s="101">
        <v>0</v>
      </c>
      <c r="AW8" s="101">
        <v>0</v>
      </c>
      <c r="AX8" s="101">
        <v>0</v>
      </c>
      <c r="AY8" s="98">
        <v>0</v>
      </c>
      <c r="AZ8" s="100">
        <v>0</v>
      </c>
      <c r="BA8" s="98"/>
      <c r="BB8" s="102"/>
      <c r="BC8" s="10"/>
      <c r="BD8" s="71">
        <f t="shared" si="2"/>
        <v>37104</v>
      </c>
      <c r="BE8" s="8" t="str">
        <f t="shared" si="2"/>
        <v>Tochten DE Zuidlob</v>
      </c>
      <c r="BF8" s="7">
        <f t="shared" si="10"/>
        <v>0.10258665630065113</v>
      </c>
      <c r="BG8" s="7">
        <f t="shared" si="3"/>
        <v>3.6875172479202162E-2</v>
      </c>
      <c r="BH8" s="7">
        <f t="shared" si="3"/>
        <v>4.6156745670573214E-2</v>
      </c>
      <c r="BI8" s="7">
        <f t="shared" si="3"/>
        <v>1.4648002535614497E-4</v>
      </c>
      <c r="BJ8" s="7">
        <f t="shared" si="3"/>
        <v>5.8478877332954572E-2</v>
      </c>
      <c r="BK8" s="7">
        <f t="shared" si="3"/>
        <v>0.11819803746503486</v>
      </c>
      <c r="BL8" s="7">
        <f t="shared" si="3"/>
        <v>0.11290481953142507</v>
      </c>
      <c r="BM8" s="7">
        <f t="shared" si="3"/>
        <v>0.35608956986172041</v>
      </c>
      <c r="BN8" s="7">
        <f t="shared" si="3"/>
        <v>7.470013573801562E-3</v>
      </c>
      <c r="BO8" s="7">
        <f t="shared" si="3"/>
        <v>1.7462334099485995E-4</v>
      </c>
      <c r="BP8" s="7">
        <f t="shared" si="3"/>
        <v>1.1661872727134216E-2</v>
      </c>
      <c r="BQ8" s="7">
        <f t="shared" si="3"/>
        <v>0</v>
      </c>
      <c r="BR8" s="7">
        <f t="shared" si="3"/>
        <v>0</v>
      </c>
      <c r="BS8" s="7">
        <f t="shared" si="3"/>
        <v>7.684758984368345E-2</v>
      </c>
      <c r="BT8" s="7">
        <f t="shared" si="3"/>
        <v>0</v>
      </c>
      <c r="BU8" s="7">
        <f t="shared" si="3"/>
        <v>7.0845770150558846E-2</v>
      </c>
      <c r="BV8" s="7">
        <f t="shared" si="3"/>
        <v>3.6963871695674298E-4</v>
      </c>
      <c r="BW8" s="7">
        <f t="shared" si="4"/>
        <v>3.4712403329209481E-4</v>
      </c>
      <c r="BX8" s="7">
        <f t="shared" si="4"/>
        <v>8.4700894666063791E-4</v>
      </c>
      <c r="BY8" s="7">
        <f t="shared" si="4"/>
        <v>0</v>
      </c>
      <c r="BZ8" s="72">
        <f t="shared" si="11"/>
        <v>1</v>
      </c>
      <c r="CA8" s="261">
        <f t="shared" si="12"/>
        <v>0.8031977281199727</v>
      </c>
      <c r="CB8" s="74">
        <f t="shared" si="13"/>
        <v>0</v>
      </c>
    </row>
    <row r="9" spans="1:80" x14ac:dyDescent="0.3">
      <c r="A9" s="91">
        <v>37105</v>
      </c>
      <c r="B9" t="s">
        <v>83</v>
      </c>
      <c r="C9" s="88">
        <f t="shared" si="1"/>
        <v>0.82288213641704766</v>
      </c>
      <c r="D9" s="258">
        <f t="shared" si="5"/>
        <v>2.8066893297560389</v>
      </c>
      <c r="E9" s="262">
        <v>2.5</v>
      </c>
      <c r="F9" s="260">
        <v>3.4108035714285712</v>
      </c>
      <c r="G9" s="8">
        <v>50342.041228699571</v>
      </c>
      <c r="H9" s="8">
        <v>16235.989926431361</v>
      </c>
      <c r="I9" s="8">
        <v>32998.866350018827</v>
      </c>
      <c r="J9" s="8">
        <v>59.641267039308431</v>
      </c>
      <c r="K9" s="8">
        <v>23980.750294473099</v>
      </c>
      <c r="L9" s="8">
        <v>52354.514639859022</v>
      </c>
      <c r="M9" s="95">
        <v>17564.70276630326</v>
      </c>
      <c r="N9" s="96">
        <v>233047.1715210866</v>
      </c>
      <c r="O9" s="71">
        <v>1339.22210266</v>
      </c>
      <c r="P9" s="8">
        <v>0</v>
      </c>
      <c r="Q9" s="95">
        <v>5041.7964006211432</v>
      </c>
      <c r="R9" s="71">
        <v>0</v>
      </c>
      <c r="S9" s="8">
        <v>0</v>
      </c>
      <c r="T9" s="8">
        <v>9449.3358220080008</v>
      </c>
      <c r="U9" s="8">
        <v>0</v>
      </c>
      <c r="V9" s="8">
        <v>14676.946409988799</v>
      </c>
      <c r="W9" s="8">
        <v>629.45674056760004</v>
      </c>
      <c r="X9" s="8">
        <v>0</v>
      </c>
      <c r="Y9" s="95">
        <v>788.81240573939431</v>
      </c>
      <c r="Z9" s="97">
        <v>416.69548966217428</v>
      </c>
      <c r="AA9" s="8"/>
      <c r="AB9" s="98">
        <f t="shared" si="6"/>
        <v>7165.6147285512843</v>
      </c>
      <c r="AC9" s="71">
        <f t="shared" si="7"/>
        <v>466091.55809370941</v>
      </c>
      <c r="AD9" s="8">
        <v>84986.595920439097</v>
      </c>
      <c r="AE9" s="95">
        <f t="shared" si="8"/>
        <v>381104.96217327029</v>
      </c>
      <c r="AF9" s="99" t="s">
        <v>84</v>
      </c>
      <c r="AG9" s="100">
        <v>428.41267585084438</v>
      </c>
      <c r="AH9" s="101">
        <v>123.7740967394725</v>
      </c>
      <c r="AI9" s="101">
        <v>166.13589688712219</v>
      </c>
      <c r="AJ9" s="101">
        <v>0.68088889328198432</v>
      </c>
      <c r="AK9" s="101">
        <v>438.4472308583002</v>
      </c>
      <c r="AL9" s="101">
        <v>347.64185074081462</v>
      </c>
      <c r="AM9" s="98">
        <v>256.19864587775578</v>
      </c>
      <c r="AN9" s="101">
        <v>4340.5730360765792</v>
      </c>
      <c r="AO9" s="100">
        <v>23.666188095132451</v>
      </c>
      <c r="AP9" s="101">
        <v>0.25331097041892481</v>
      </c>
      <c r="AQ9" s="98">
        <v>63.62058171719994</v>
      </c>
      <c r="AR9" s="100">
        <v>74.690863843511465</v>
      </c>
      <c r="AS9" s="101">
        <v>0</v>
      </c>
      <c r="AT9" s="101">
        <v>275.91499232734378</v>
      </c>
      <c r="AU9" s="101">
        <v>1.1275533840696319</v>
      </c>
      <c r="AV9" s="101">
        <v>129.02338469251899</v>
      </c>
      <c r="AW9" s="101">
        <v>4.3779249133426923</v>
      </c>
      <c r="AX9" s="101">
        <v>7.0029256565858802</v>
      </c>
      <c r="AY9" s="98">
        <v>9.1445142670717985</v>
      </c>
      <c r="AZ9" s="100">
        <v>474.92816675991583</v>
      </c>
      <c r="BA9" s="98"/>
      <c r="BB9" s="102">
        <f>SUM(AG9:BA9)</f>
        <v>7165.6147285512843</v>
      </c>
      <c r="BC9" s="10"/>
      <c r="BD9" s="71">
        <f t="shared" si="2"/>
        <v>37105</v>
      </c>
      <c r="BE9" s="8" t="str">
        <f t="shared" si="2"/>
        <v>Tochten FGIK</v>
      </c>
      <c r="BF9" s="7">
        <f t="shared" si="10"/>
        <v>0.10892807008176456</v>
      </c>
      <c r="BG9" s="7">
        <f t="shared" si="3"/>
        <v>3.509989344171225E-2</v>
      </c>
      <c r="BH9" s="7">
        <f t="shared" si="3"/>
        <v>7.1155552317980417E-2</v>
      </c>
      <c r="BI9" s="7">
        <f t="shared" si="3"/>
        <v>1.294212583023493E-4</v>
      </c>
      <c r="BJ9" s="7">
        <f t="shared" si="3"/>
        <v>5.2391417740335539E-2</v>
      </c>
      <c r="BK9" s="7">
        <f t="shared" si="3"/>
        <v>0.11307254030978153</v>
      </c>
      <c r="BL9" s="7">
        <f t="shared" si="3"/>
        <v>3.8234765471976344E-2</v>
      </c>
      <c r="BM9" s="7">
        <f t="shared" si="3"/>
        <v>0.50931569223881012</v>
      </c>
      <c r="BN9" s="7">
        <f t="shared" si="3"/>
        <v>2.9240784714687296E-3</v>
      </c>
      <c r="BO9" s="7">
        <f t="shared" si="3"/>
        <v>5.4347899252875057E-7</v>
      </c>
      <c r="BP9" s="7">
        <f t="shared" si="3"/>
        <v>1.0953678292778435E-2</v>
      </c>
      <c r="BQ9" s="7">
        <f t="shared" si="3"/>
        <v>1.6024933845400091E-4</v>
      </c>
      <c r="BR9" s="7">
        <f t="shared" si="3"/>
        <v>0</v>
      </c>
      <c r="BS9" s="7">
        <f t="shared" si="3"/>
        <v>2.0865537350882566E-2</v>
      </c>
      <c r="BT9" s="7">
        <f t="shared" si="3"/>
        <v>2.4191671453593099E-6</v>
      </c>
      <c r="BU9" s="7">
        <f t="shared" si="3"/>
        <v>3.1766226050600394E-2</v>
      </c>
      <c r="BV9" s="7">
        <f t="shared" si="3"/>
        <v>1.359893039198766E-3</v>
      </c>
      <c r="BW9" s="7">
        <f t="shared" si="4"/>
        <v>1.5024785441786347E-5</v>
      </c>
      <c r="BX9" s="7">
        <f t="shared" si="4"/>
        <v>1.7120175342159576E-3</v>
      </c>
      <c r="BY9" s="7">
        <f t="shared" si="4"/>
        <v>1.9129796301584718E-3</v>
      </c>
      <c r="BZ9" s="72">
        <f t="shared" si="11"/>
        <v>1.0000000000000002</v>
      </c>
      <c r="CA9" s="261">
        <f t="shared" si="12"/>
        <v>0.82288213641704788</v>
      </c>
      <c r="CB9" s="74">
        <f t="shared" si="13"/>
        <v>0</v>
      </c>
    </row>
    <row r="10" spans="1:80" x14ac:dyDescent="0.3">
      <c r="A10" s="91">
        <v>37106</v>
      </c>
      <c r="B10" t="s">
        <v>85</v>
      </c>
      <c r="C10" s="88">
        <f t="shared" si="1"/>
        <v>0.51641852644615394</v>
      </c>
      <c r="D10" s="258">
        <f t="shared" si="5"/>
        <v>2.7197118353908998</v>
      </c>
      <c r="E10" s="262">
        <v>2.5</v>
      </c>
      <c r="F10" s="260">
        <v>5.2664877344877352</v>
      </c>
      <c r="G10" s="8">
        <v>33776.066968344792</v>
      </c>
      <c r="H10" s="8">
        <v>13920.80129753208</v>
      </c>
      <c r="I10" s="8">
        <v>8340.8712747674417</v>
      </c>
      <c r="J10" s="8">
        <v>12.62797414227081</v>
      </c>
      <c r="K10" s="8">
        <v>6368.3281030099652</v>
      </c>
      <c r="L10" s="8">
        <v>19012.008094437078</v>
      </c>
      <c r="M10" s="95">
        <v>8088.074386520937</v>
      </c>
      <c r="N10" s="96">
        <v>8305.8883612004374</v>
      </c>
      <c r="O10" s="71">
        <v>856.22457618285716</v>
      </c>
      <c r="P10" s="8">
        <v>0</v>
      </c>
      <c r="Q10" s="95">
        <v>2968.0391260000001</v>
      </c>
      <c r="R10" s="71">
        <v>0</v>
      </c>
      <c r="S10" s="8">
        <v>0</v>
      </c>
      <c r="T10" s="8">
        <v>2480.5401193040002</v>
      </c>
      <c r="U10" s="8">
        <v>0</v>
      </c>
      <c r="V10" s="8">
        <v>327.13753368548572</v>
      </c>
      <c r="W10" s="8">
        <v>81.987155364400024</v>
      </c>
      <c r="X10" s="8">
        <v>0</v>
      </c>
      <c r="Y10" s="95">
        <v>105.6447313035772</v>
      </c>
      <c r="Z10" s="97">
        <v>0</v>
      </c>
      <c r="AA10" s="8"/>
      <c r="AB10" s="98">
        <f t="shared" si="6"/>
        <v>3467.0912039619561</v>
      </c>
      <c r="AC10" s="71">
        <f t="shared" si="7"/>
        <v>108111.33090575729</v>
      </c>
      <c r="AD10" s="8">
        <v>21131.508822679851</v>
      </c>
      <c r="AE10" s="95">
        <f t="shared" si="8"/>
        <v>86979.822083077437</v>
      </c>
      <c r="AF10" s="99" t="s">
        <v>86</v>
      </c>
      <c r="AG10" s="100">
        <v>208.3449426252765</v>
      </c>
      <c r="AH10" s="101">
        <v>60.157065776849223</v>
      </c>
      <c r="AI10" s="101">
        <v>80.850896375798882</v>
      </c>
      <c r="AJ10" s="101">
        <v>0.33179784423226028</v>
      </c>
      <c r="AK10" s="101">
        <v>212.80602313619301</v>
      </c>
      <c r="AL10" s="101">
        <v>169.2850129045207</v>
      </c>
      <c r="AM10" s="98">
        <v>125.800031437081</v>
      </c>
      <c r="AN10" s="101">
        <v>2096.1381752480729</v>
      </c>
      <c r="AO10" s="100">
        <v>11.436492602989469</v>
      </c>
      <c r="AP10" s="101">
        <v>0.1227920817174734</v>
      </c>
      <c r="AQ10" s="98">
        <v>30.738551649188452</v>
      </c>
      <c r="AR10" s="100">
        <v>36.115124206639031</v>
      </c>
      <c r="AS10" s="101">
        <v>0</v>
      </c>
      <c r="AT10" s="101">
        <v>133.48925800961541</v>
      </c>
      <c r="AU10" s="101">
        <v>0.54432562671861107</v>
      </c>
      <c r="AV10" s="101">
        <v>62.624469193399257</v>
      </c>
      <c r="AW10" s="101">
        <v>2.1343237773510859</v>
      </c>
      <c r="AX10" s="101">
        <v>3.3804245298234261</v>
      </c>
      <c r="AY10" s="98">
        <v>4.4338251736209147</v>
      </c>
      <c r="AZ10" s="100">
        <v>228.3576717628689</v>
      </c>
      <c r="BA10" s="98"/>
      <c r="BB10" s="102">
        <f t="shared" si="9"/>
        <v>3467.0912039619561</v>
      </c>
      <c r="BC10" s="10"/>
      <c r="BD10" s="71">
        <f t="shared" si="2"/>
        <v>37106</v>
      </c>
      <c r="BE10" s="8" t="str">
        <f t="shared" si="2"/>
        <v>Tochten FGIK ZUID</v>
      </c>
      <c r="BF10" s="7">
        <f t="shared" si="10"/>
        <v>0.31434643923304328</v>
      </c>
      <c r="BG10" s="7">
        <f t="shared" si="3"/>
        <v>0.12932000971754198</v>
      </c>
      <c r="BH10" s="7">
        <f t="shared" si="3"/>
        <v>7.7898607857159921E-2</v>
      </c>
      <c r="BI10" s="7">
        <f t="shared" si="3"/>
        <v>1.19874317316474E-4</v>
      </c>
      <c r="BJ10" s="7">
        <f t="shared" si="3"/>
        <v>6.0873675969108719E-2</v>
      </c>
      <c r="BK10" s="7">
        <f t="shared" si="3"/>
        <v>0.17742167214704163</v>
      </c>
      <c r="BL10" s="7">
        <f t="shared" si="3"/>
        <v>7.597607345263567E-2</v>
      </c>
      <c r="BM10" s="7">
        <f t="shared" si="3"/>
        <v>9.6215877182347836E-2</v>
      </c>
      <c r="BN10" s="7">
        <f t="shared" si="3"/>
        <v>8.0256256353203465E-3</v>
      </c>
      <c r="BO10" s="7">
        <f t="shared" si="3"/>
        <v>1.1357928969028565E-6</v>
      </c>
      <c r="BP10" s="7">
        <f t="shared" si="3"/>
        <v>2.7737866628089893E-2</v>
      </c>
      <c r="BQ10" s="7">
        <f t="shared" si="3"/>
        <v>3.3405494044025109E-4</v>
      </c>
      <c r="BR10" s="7">
        <f t="shared" si="3"/>
        <v>0</v>
      </c>
      <c r="BS10" s="7">
        <f t="shared" si="3"/>
        <v>2.4179050941407008E-2</v>
      </c>
      <c r="BT10" s="7">
        <f t="shared" si="3"/>
        <v>5.0348619534904264E-6</v>
      </c>
      <c r="BU10" s="7">
        <f t="shared" si="3"/>
        <v>3.6051910527181274E-3</v>
      </c>
      <c r="BV10" s="7">
        <f t="shared" si="3"/>
        <v>7.7810048620233349E-4</v>
      </c>
      <c r="BW10" s="7">
        <f t="shared" si="4"/>
        <v>3.126799477448119E-5</v>
      </c>
      <c r="BX10" s="7">
        <f t="shared" si="4"/>
        <v>1.01819629408832E-3</v>
      </c>
      <c r="BY10" s="7">
        <f t="shared" si="4"/>
        <v>2.1122454959132141E-3</v>
      </c>
      <c r="BZ10" s="72">
        <f t="shared" si="11"/>
        <v>1</v>
      </c>
      <c r="CA10" s="261">
        <f t="shared" si="12"/>
        <v>0.51641852644615394</v>
      </c>
      <c r="CB10" s="74">
        <f t="shared" si="13"/>
        <v>0</v>
      </c>
    </row>
    <row r="11" spans="1:80" x14ac:dyDescent="0.3">
      <c r="A11" s="91">
        <v>37107</v>
      </c>
      <c r="B11" t="s">
        <v>87</v>
      </c>
      <c r="C11" s="88">
        <f t="shared" si="1"/>
        <v>0.8681763343271599</v>
      </c>
      <c r="D11" s="258">
        <f t="shared" si="5"/>
        <v>2.8507319256492281</v>
      </c>
      <c r="E11" s="262">
        <v>2.4</v>
      </c>
      <c r="F11" s="260">
        <v>3.2835863095238094</v>
      </c>
      <c r="G11" s="8">
        <v>26281.761239795898</v>
      </c>
      <c r="H11" s="8">
        <v>8566.9036976647221</v>
      </c>
      <c r="I11" s="8">
        <v>17851.937150745391</v>
      </c>
      <c r="J11" s="8">
        <v>25.634864728777011</v>
      </c>
      <c r="K11" s="8">
        <v>3921.2345591633052</v>
      </c>
      <c r="L11" s="8">
        <v>27699.409624306769</v>
      </c>
      <c r="M11" s="95">
        <v>974.73498862108556</v>
      </c>
      <c r="N11" s="96">
        <v>213704.2050654366</v>
      </c>
      <c r="O11" s="71">
        <v>428.11154522314291</v>
      </c>
      <c r="P11" s="8">
        <v>48.656855728371433</v>
      </c>
      <c r="Q11" s="95">
        <v>3353.080850562857</v>
      </c>
      <c r="R11" s="71">
        <v>0</v>
      </c>
      <c r="S11" s="8">
        <v>0</v>
      </c>
      <c r="T11" s="8">
        <v>2222.611332084</v>
      </c>
      <c r="U11" s="8">
        <v>43.968556633114289</v>
      </c>
      <c r="V11" s="8">
        <v>258.84446674988573</v>
      </c>
      <c r="W11" s="8">
        <v>0</v>
      </c>
      <c r="X11" s="8">
        <v>0</v>
      </c>
      <c r="Y11" s="95">
        <v>529.69433835351424</v>
      </c>
      <c r="Z11" s="97">
        <v>0</v>
      </c>
      <c r="AA11" s="8"/>
      <c r="AB11" s="98">
        <f t="shared" si="6"/>
        <v>77364.521168246385</v>
      </c>
      <c r="AC11" s="71">
        <f t="shared" si="7"/>
        <v>383275.31030404381</v>
      </c>
      <c r="AD11" s="8">
        <v>17874.997905660101</v>
      </c>
      <c r="AE11" s="95">
        <f t="shared" si="8"/>
        <v>365400.31239838374</v>
      </c>
      <c r="AF11" s="99" t="s">
        <v>88</v>
      </c>
      <c r="AG11" s="100">
        <v>5138.6567034507034</v>
      </c>
      <c r="AH11" s="101">
        <v>1466.8789770222211</v>
      </c>
      <c r="AI11" s="101">
        <v>2019.9149487608281</v>
      </c>
      <c r="AJ11" s="101">
        <v>8.4919152130159539</v>
      </c>
      <c r="AK11" s="101">
        <v>5055.6032213279741</v>
      </c>
      <c r="AL11" s="101">
        <v>4276.864024233847</v>
      </c>
      <c r="AM11" s="98">
        <v>3658.5902428826448</v>
      </c>
      <c r="AN11" s="101">
        <v>44895.391706096852</v>
      </c>
      <c r="AO11" s="100">
        <v>248.5127614234388</v>
      </c>
      <c r="AP11" s="101">
        <v>2.8452631318753059</v>
      </c>
      <c r="AQ11" s="98">
        <v>665.35622119684569</v>
      </c>
      <c r="AR11" s="100">
        <v>794.68842881316993</v>
      </c>
      <c r="AS11" s="101">
        <v>0</v>
      </c>
      <c r="AT11" s="101">
        <v>2972.8645238268559</v>
      </c>
      <c r="AU11" s="101">
        <v>11.57048433818419</v>
      </c>
      <c r="AV11" s="101">
        <v>1488.3630407242999</v>
      </c>
      <c r="AW11" s="101">
        <v>55.065122484542933</v>
      </c>
      <c r="AX11" s="101">
        <v>71.747947321008965</v>
      </c>
      <c r="AY11" s="98">
        <v>103.2172836370078</v>
      </c>
      <c r="AZ11" s="100">
        <v>4429.8983523610659</v>
      </c>
      <c r="BA11" s="98"/>
      <c r="BB11" s="102">
        <f t="shared" si="9"/>
        <v>77364.521168246385</v>
      </c>
      <c r="BC11" s="10"/>
      <c r="BD11" s="71">
        <f t="shared" si="2"/>
        <v>37107</v>
      </c>
      <c r="BE11" s="8" t="str">
        <f t="shared" si="2"/>
        <v>Tochten H</v>
      </c>
      <c r="BF11" s="7">
        <f t="shared" si="10"/>
        <v>8.1978716339232705E-2</v>
      </c>
      <c r="BG11" s="7">
        <f t="shared" si="3"/>
        <v>2.6179047814813235E-2</v>
      </c>
      <c r="BH11" s="7">
        <f t="shared" si="3"/>
        <v>5.1847462033863638E-2</v>
      </c>
      <c r="BI11" s="7">
        <f t="shared" si="3"/>
        <v>8.903985992398243E-5</v>
      </c>
      <c r="BJ11" s="7">
        <f t="shared" si="3"/>
        <v>2.3421382852368323E-2</v>
      </c>
      <c r="BK11" s="7">
        <f t="shared" si="3"/>
        <v>8.3428994221345865E-2</v>
      </c>
      <c r="BL11" s="7">
        <f t="shared" si="3"/>
        <v>1.2088765195514986E-2</v>
      </c>
      <c r="BM11" s="7">
        <f t="shared" si="3"/>
        <v>0.67470977080780947</v>
      </c>
      <c r="BN11" s="7">
        <f t="shared" si="3"/>
        <v>1.7653741017385927E-3</v>
      </c>
      <c r="BO11" s="7">
        <f t="shared" si="3"/>
        <v>1.3437369294513454E-4</v>
      </c>
      <c r="BP11" s="7">
        <f t="shared" si="3"/>
        <v>1.0484466292837818E-2</v>
      </c>
      <c r="BQ11" s="7">
        <f t="shared" si="3"/>
        <v>2.0734140902077965E-3</v>
      </c>
      <c r="BR11" s="7">
        <f t="shared" si="3"/>
        <v>0</v>
      </c>
      <c r="BS11" s="7">
        <f t="shared" si="3"/>
        <v>1.355546709176075E-2</v>
      </c>
      <c r="BT11" s="7">
        <f t="shared" si="3"/>
        <v>1.4490638837978001E-4</v>
      </c>
      <c r="BU11" s="7">
        <f t="shared" si="3"/>
        <v>4.5586226414849537E-3</v>
      </c>
      <c r="BV11" s="7">
        <f t="shared" si="3"/>
        <v>1.4366989212235193E-4</v>
      </c>
      <c r="BW11" s="7">
        <f t="shared" si="4"/>
        <v>1.8719689317867334E-4</v>
      </c>
      <c r="BX11" s="7">
        <f t="shared" si="4"/>
        <v>1.6513237481653781E-3</v>
      </c>
      <c r="BY11" s="7">
        <f t="shared" si="4"/>
        <v>1.1558006042306576E-2</v>
      </c>
      <c r="BZ11" s="72">
        <f t="shared" si="11"/>
        <v>1</v>
      </c>
      <c r="CA11" s="261">
        <f t="shared" si="12"/>
        <v>0.8681763343271599</v>
      </c>
      <c r="CB11" s="74">
        <f t="shared" si="13"/>
        <v>0</v>
      </c>
    </row>
    <row r="12" spans="1:80" x14ac:dyDescent="0.3">
      <c r="A12" s="91">
        <v>37108</v>
      </c>
      <c r="B12" t="s">
        <v>156</v>
      </c>
      <c r="C12" s="88">
        <f t="shared" si="1"/>
        <v>0.76235558919039081</v>
      </c>
      <c r="D12" s="258">
        <f t="shared" si="5"/>
        <v>5.7663783450535693</v>
      </c>
      <c r="E12" s="262">
        <v>5</v>
      </c>
      <c r="F12" s="260">
        <v>7.563895938872002</v>
      </c>
      <c r="G12" s="8">
        <v>75620.084874765103</v>
      </c>
      <c r="H12" s="8">
        <v>22777.439259931471</v>
      </c>
      <c r="I12" s="8">
        <v>22884.60836715734</v>
      </c>
      <c r="J12" s="8">
        <v>105.1781534314817</v>
      </c>
      <c r="K12" s="8">
        <v>51719.237338397143</v>
      </c>
      <c r="L12" s="8">
        <v>32839.236676521279</v>
      </c>
      <c r="M12" s="95">
        <v>17039.423403179659</v>
      </c>
      <c r="N12" s="96">
        <v>212435.07521807941</v>
      </c>
      <c r="O12" s="71">
        <v>983.24662586257148</v>
      </c>
      <c r="P12" s="8">
        <v>15.14356952405714</v>
      </c>
      <c r="Q12" s="95">
        <v>4549.8252560159999</v>
      </c>
      <c r="R12" s="71">
        <v>0</v>
      </c>
      <c r="S12" s="8">
        <v>0</v>
      </c>
      <c r="T12" s="8">
        <v>10760.562278604</v>
      </c>
      <c r="U12" s="8">
        <v>118.15852918402859</v>
      </c>
      <c r="V12" s="8">
        <v>9446.9253070986852</v>
      </c>
      <c r="W12" s="8">
        <v>122.801110638</v>
      </c>
      <c r="X12" s="8">
        <v>6.4187028441428584</v>
      </c>
      <c r="Y12" s="95">
        <v>824.58495802951427</v>
      </c>
      <c r="Z12" s="97">
        <v>237.66039714285711</v>
      </c>
      <c r="AA12" s="8"/>
      <c r="AB12" s="98">
        <f t="shared" si="6"/>
        <v>0</v>
      </c>
      <c r="AC12" s="71">
        <f t="shared" si="7"/>
        <v>462485.61002640671</v>
      </c>
      <c r="AD12" s="8">
        <v>48161.759837380399</v>
      </c>
      <c r="AE12" s="95">
        <f t="shared" si="8"/>
        <v>414323.85018902633</v>
      </c>
      <c r="AF12" s="99" t="s">
        <v>90</v>
      </c>
      <c r="AG12" s="100">
        <v>0</v>
      </c>
      <c r="AH12" s="101">
        <v>0</v>
      </c>
      <c r="AI12" s="101">
        <v>0</v>
      </c>
      <c r="AJ12" s="101">
        <v>0</v>
      </c>
      <c r="AK12" s="101">
        <v>0</v>
      </c>
      <c r="AL12" s="101">
        <v>0</v>
      </c>
      <c r="AM12" s="98">
        <v>0</v>
      </c>
      <c r="AN12" s="101">
        <v>0</v>
      </c>
      <c r="AO12" s="100">
        <v>0</v>
      </c>
      <c r="AP12" s="101">
        <v>0</v>
      </c>
      <c r="AQ12" s="98">
        <v>0</v>
      </c>
      <c r="AR12" s="100">
        <v>0</v>
      </c>
      <c r="AS12" s="101">
        <v>0</v>
      </c>
      <c r="AT12" s="101">
        <v>0</v>
      </c>
      <c r="AU12" s="101">
        <v>0</v>
      </c>
      <c r="AV12" s="101">
        <v>0</v>
      </c>
      <c r="AW12" s="101">
        <v>0</v>
      </c>
      <c r="AX12" s="101">
        <v>0</v>
      </c>
      <c r="AY12" s="98">
        <v>0</v>
      </c>
      <c r="AZ12" s="100">
        <v>0</v>
      </c>
      <c r="BA12" s="98"/>
      <c r="BB12" s="102"/>
      <c r="BC12" s="10"/>
      <c r="BD12" s="71">
        <f t="shared" si="2"/>
        <v>37108</v>
      </c>
      <c r="BE12" s="8" t="str">
        <f t="shared" si="2"/>
        <v>Tochten J</v>
      </c>
      <c r="BF12" s="7">
        <f t="shared" si="10"/>
        <v>0.16350797351391624</v>
      </c>
      <c r="BG12" s="7">
        <f t="shared" si="3"/>
        <v>4.9250049658044366E-2</v>
      </c>
      <c r="BH12" s="7">
        <f t="shared" si="3"/>
        <v>4.9481773856381583E-2</v>
      </c>
      <c r="BI12" s="7">
        <f t="shared" si="3"/>
        <v>2.2741929943609772E-4</v>
      </c>
      <c r="BJ12" s="7">
        <f t="shared" si="3"/>
        <v>0.11182885741124812</v>
      </c>
      <c r="BK12" s="7">
        <f t="shared" si="3"/>
        <v>7.1005964217235318E-2</v>
      </c>
      <c r="BL12" s="7">
        <f t="shared" si="3"/>
        <v>3.6843142864935306E-2</v>
      </c>
      <c r="BM12" s="7">
        <f t="shared" si="3"/>
        <v>0.4593333730014863</v>
      </c>
      <c r="BN12" s="7">
        <f t="shared" si="3"/>
        <v>2.1260047978712911E-3</v>
      </c>
      <c r="BO12" s="7">
        <f t="shared" si="3"/>
        <v>3.2743871800016612E-5</v>
      </c>
      <c r="BP12" s="7">
        <f t="shared" si="3"/>
        <v>9.8377660999143662E-3</v>
      </c>
      <c r="BQ12" s="7">
        <f t="shared" si="3"/>
        <v>0</v>
      </c>
      <c r="BR12" s="7">
        <f t="shared" si="3"/>
        <v>0</v>
      </c>
      <c r="BS12" s="7">
        <f t="shared" si="3"/>
        <v>2.3266804513095232E-2</v>
      </c>
      <c r="BT12" s="7">
        <f t="shared" si="3"/>
        <v>2.5548584998629913E-4</v>
      </c>
      <c r="BU12" s="7">
        <f t="shared" si="3"/>
        <v>2.0426419984308896E-2</v>
      </c>
      <c r="BV12" s="7">
        <f t="shared" si="3"/>
        <v>2.655241762678592E-4</v>
      </c>
      <c r="BW12" s="7">
        <f t="shared" si="4"/>
        <v>1.3878708234352129E-5</v>
      </c>
      <c r="BX12" s="7">
        <f t="shared" si="4"/>
        <v>1.7829418692236342E-3</v>
      </c>
      <c r="BY12" s="7">
        <f t="shared" si="4"/>
        <v>5.1387630661478816E-4</v>
      </c>
      <c r="BZ12" s="72">
        <f t="shared" si="11"/>
        <v>1</v>
      </c>
      <c r="CA12" s="261">
        <f t="shared" si="12"/>
        <v>0.7623555891903907</v>
      </c>
      <c r="CB12" s="74">
        <f t="shared" si="13"/>
        <v>0</v>
      </c>
    </row>
    <row r="13" spans="1:80" x14ac:dyDescent="0.3">
      <c r="A13" s="91">
        <v>37109</v>
      </c>
      <c r="B13" t="s">
        <v>91</v>
      </c>
      <c r="C13" s="88">
        <f>(SUMPRODUCT(G13:AA13,$G$20:$AA$20)+SUMPRODUCT(AG13:BA13,$AG$20:$BA$20))/AC13</f>
        <v>0.5663581028458835</v>
      </c>
      <c r="D13" s="258">
        <f t="shared" si="5"/>
        <v>2.840556475587205</v>
      </c>
      <c r="E13" s="262">
        <v>3.5</v>
      </c>
      <c r="F13" s="260">
        <v>5.0154777715966974</v>
      </c>
      <c r="G13" s="8">
        <v>435916.0039676826</v>
      </c>
      <c r="H13" s="8">
        <v>66338.166283373052</v>
      </c>
      <c r="I13" s="8">
        <v>52346.79641796885</v>
      </c>
      <c r="J13" s="8">
        <v>669.69566425444668</v>
      </c>
      <c r="K13" s="8">
        <v>233656.253841734</v>
      </c>
      <c r="L13" s="8">
        <v>126866.77118622531</v>
      </c>
      <c r="M13" s="95">
        <v>21830.789525944001</v>
      </c>
      <c r="N13" s="96">
        <v>239801.62301883899</v>
      </c>
      <c r="O13" s="71">
        <v>3635.0284133058572</v>
      </c>
      <c r="P13" s="8">
        <v>7069.9847917377147</v>
      </c>
      <c r="Q13" s="95">
        <v>17085.476379177719</v>
      </c>
      <c r="R13" s="71">
        <v>0</v>
      </c>
      <c r="S13" s="8">
        <v>0</v>
      </c>
      <c r="T13" s="8">
        <v>14954.938321990439</v>
      </c>
      <c r="U13" s="8">
        <v>696.38039665252427</v>
      </c>
      <c r="V13" s="8">
        <v>2124.6657790700719</v>
      </c>
      <c r="W13" s="8">
        <v>172.40226197999999</v>
      </c>
      <c r="X13" s="8">
        <v>2.2719952698571428</v>
      </c>
      <c r="Y13" s="95">
        <v>1743.7476121768671</v>
      </c>
      <c r="Z13" s="97">
        <v>207732.3778163876</v>
      </c>
      <c r="AA13" s="8"/>
      <c r="AB13" s="98">
        <f t="shared" si="6"/>
        <v>35987.694738564191</v>
      </c>
      <c r="AC13" s="71">
        <f t="shared" si="7"/>
        <v>1468631.0684123342</v>
      </c>
      <c r="AD13" s="8">
        <v>137363.56403492499</v>
      </c>
      <c r="AE13" s="95">
        <f t="shared" si="8"/>
        <v>1331267.5043774091</v>
      </c>
      <c r="AF13" s="99" t="s">
        <v>92</v>
      </c>
      <c r="AG13" s="100">
        <v>10558.957959109621</v>
      </c>
      <c r="AH13" s="101">
        <v>1623.8216164547971</v>
      </c>
      <c r="AI13" s="101">
        <v>1923.492942839177</v>
      </c>
      <c r="AJ13" s="101">
        <v>24.737314420502759</v>
      </c>
      <c r="AK13" s="101">
        <v>3781.2309910514509</v>
      </c>
      <c r="AL13" s="101">
        <v>2574.4997468160191</v>
      </c>
      <c r="AM13" s="98">
        <v>562.98533486166752</v>
      </c>
      <c r="AN13" s="101">
        <v>6360.5508009845762</v>
      </c>
      <c r="AO13" s="100">
        <v>122.746427064568</v>
      </c>
      <c r="AP13" s="101">
        <v>258.37925681490668</v>
      </c>
      <c r="AQ13" s="98">
        <v>424.61362243593771</v>
      </c>
      <c r="AR13" s="100">
        <v>0</v>
      </c>
      <c r="AS13" s="101">
        <v>0</v>
      </c>
      <c r="AT13" s="101">
        <v>609.40009542671112</v>
      </c>
      <c r="AU13" s="101">
        <v>5.3496287792063564</v>
      </c>
      <c r="AV13" s="101">
        <v>13.4074739283694</v>
      </c>
      <c r="AW13" s="101">
        <v>0.56804645872822257</v>
      </c>
      <c r="AX13" s="101">
        <v>3.1357178123897471</v>
      </c>
      <c r="AY13" s="98">
        <v>30.652453316619361</v>
      </c>
      <c r="AZ13" s="100">
        <v>7109.1653099889427</v>
      </c>
      <c r="BA13" s="98"/>
      <c r="BB13" s="102">
        <f t="shared" si="9"/>
        <v>35987.694738564191</v>
      </c>
      <c r="BC13" s="10"/>
      <c r="BD13" s="71">
        <f t="shared" si="2"/>
        <v>37109</v>
      </c>
      <c r="BE13" s="8" t="str">
        <f t="shared" si="2"/>
        <v>Tochten lage afdeling NOP</v>
      </c>
      <c r="BF13" s="7">
        <f t="shared" si="10"/>
        <v>0.30400756972236376</v>
      </c>
      <c r="BG13" s="7">
        <f t="shared" si="3"/>
        <v>4.6275738925568459E-2</v>
      </c>
      <c r="BH13" s="7">
        <f t="shared" si="3"/>
        <v>3.6952976501768417E-2</v>
      </c>
      <c r="BI13" s="7">
        <f t="shared" si="3"/>
        <v>4.7284372066680252E-4</v>
      </c>
      <c r="BJ13" s="7">
        <f t="shared" si="3"/>
        <v>0.16167265553592544</v>
      </c>
      <c r="BK13" s="7">
        <f t="shared" si="3"/>
        <v>8.8137363914665104E-2</v>
      </c>
      <c r="BL13" s="7">
        <f t="shared" si="3"/>
        <v>1.5248060144209322E-2</v>
      </c>
      <c r="BM13" s="7">
        <f t="shared" si="3"/>
        <v>0.16761335036030359</v>
      </c>
      <c r="BN13" s="7">
        <f t="shared" si="3"/>
        <v>2.5586921870260943E-3</v>
      </c>
      <c r="BO13" s="7">
        <f t="shared" si="3"/>
        <v>4.9899285165436137E-3</v>
      </c>
      <c r="BP13" s="7">
        <f t="shared" si="3"/>
        <v>1.1922728844721339E-2</v>
      </c>
      <c r="BQ13" s="7">
        <f t="shared" si="3"/>
        <v>0</v>
      </c>
      <c r="BR13" s="7">
        <f t="shared" si="3"/>
        <v>0</v>
      </c>
      <c r="BS13" s="7">
        <f t="shared" si="3"/>
        <v>1.0597854527374939E-2</v>
      </c>
      <c r="BT13" s="7">
        <f t="shared" si="3"/>
        <v>4.778123250452116E-4</v>
      </c>
      <c r="BU13" s="7">
        <f t="shared" si="3"/>
        <v>1.4558273340286941E-3</v>
      </c>
      <c r="BV13" s="7">
        <f t="shared" si="3"/>
        <v>1.1777655543248041E-4</v>
      </c>
      <c r="BW13" s="7">
        <f t="shared" si="4"/>
        <v>3.6821453655429651E-6</v>
      </c>
      <c r="BX13" s="7">
        <f t="shared" si="4"/>
        <v>1.2082000058814663E-3</v>
      </c>
      <c r="BY13" s="7">
        <f t="shared" si="4"/>
        <v>0.14628693873310969</v>
      </c>
      <c r="BZ13" s="72">
        <f t="shared" si="11"/>
        <v>0.99999999999999989</v>
      </c>
      <c r="CA13" s="261">
        <f>SUMPRODUCT(BF13:BY13,$BF$20:$BY$20)</f>
        <v>0.5663581028458835</v>
      </c>
      <c r="CB13" s="74">
        <f t="shared" si="13"/>
        <v>0</v>
      </c>
    </row>
    <row r="14" spans="1:80" x14ac:dyDescent="0.3">
      <c r="A14" s="91">
        <v>37110</v>
      </c>
      <c r="B14" t="s">
        <v>93</v>
      </c>
      <c r="C14" s="88">
        <f t="shared" si="1"/>
        <v>0.89236638055908557</v>
      </c>
      <c r="D14" s="258"/>
      <c r="E14" s="262"/>
      <c r="F14" s="260"/>
      <c r="G14" s="8">
        <v>1802.0767042885491</v>
      </c>
      <c r="H14" s="8">
        <v>312.23905513327099</v>
      </c>
      <c r="I14" s="8">
        <v>326.07263024917393</v>
      </c>
      <c r="J14" s="8">
        <v>7.0838347298126552</v>
      </c>
      <c r="K14" s="8">
        <v>398.42446214623368</v>
      </c>
      <c r="L14" s="8">
        <v>870.43950719803036</v>
      </c>
      <c r="M14" s="95">
        <v>35557.252716310497</v>
      </c>
      <c r="N14" s="96">
        <v>763.14861451692161</v>
      </c>
      <c r="O14" s="71">
        <v>0</v>
      </c>
      <c r="P14" s="8">
        <v>283.42119947285721</v>
      </c>
      <c r="Q14" s="95">
        <v>89.11166916285714</v>
      </c>
      <c r="R14" s="71">
        <v>0</v>
      </c>
      <c r="S14" s="8">
        <v>0</v>
      </c>
      <c r="T14" s="8">
        <v>32814.085225000003</v>
      </c>
      <c r="U14" s="8">
        <v>0</v>
      </c>
      <c r="V14" s="8">
        <v>12580.360107671429</v>
      </c>
      <c r="W14" s="8">
        <v>7935.9475920000004</v>
      </c>
      <c r="X14" s="8">
        <v>0</v>
      </c>
      <c r="Y14" s="95">
        <v>1188.865231974286</v>
      </c>
      <c r="Z14" s="97">
        <v>0</v>
      </c>
      <c r="AA14" s="8"/>
      <c r="AB14" s="98">
        <f t="shared" si="6"/>
        <v>0</v>
      </c>
      <c r="AC14" s="71">
        <f t="shared" si="7"/>
        <v>94928.528549853901</v>
      </c>
      <c r="AD14" s="8">
        <v>85435.675694868536</v>
      </c>
      <c r="AE14" s="95">
        <f t="shared" si="8"/>
        <v>9492.8528549853654</v>
      </c>
      <c r="AF14" s="99" t="s">
        <v>93</v>
      </c>
      <c r="AG14" s="100">
        <v>0</v>
      </c>
      <c r="AH14" s="101">
        <v>0</v>
      </c>
      <c r="AI14" s="101">
        <v>0</v>
      </c>
      <c r="AJ14" s="101">
        <v>0</v>
      </c>
      <c r="AK14" s="101">
        <v>0</v>
      </c>
      <c r="AL14" s="101">
        <v>0</v>
      </c>
      <c r="AM14" s="98">
        <v>0</v>
      </c>
      <c r="AN14" s="101">
        <v>0</v>
      </c>
      <c r="AO14" s="100">
        <v>0</v>
      </c>
      <c r="AP14" s="101">
        <v>0</v>
      </c>
      <c r="AQ14" s="98">
        <v>0</v>
      </c>
      <c r="AR14" s="100">
        <v>0</v>
      </c>
      <c r="AS14" s="101">
        <v>0</v>
      </c>
      <c r="AT14" s="101">
        <v>0</v>
      </c>
      <c r="AU14" s="101">
        <v>0</v>
      </c>
      <c r="AV14" s="101">
        <v>0</v>
      </c>
      <c r="AW14" s="101">
        <v>0</v>
      </c>
      <c r="AX14" s="101">
        <v>0</v>
      </c>
      <c r="AY14" s="98">
        <v>0</v>
      </c>
      <c r="AZ14" s="100">
        <v>0</v>
      </c>
      <c r="BA14" s="98"/>
      <c r="BB14" s="102"/>
      <c r="BC14" s="10"/>
      <c r="BD14" s="71">
        <f t="shared" si="2"/>
        <v>37110</v>
      </c>
      <c r="BE14" s="8" t="str">
        <f t="shared" si="2"/>
        <v>Oostvaardersplassen</v>
      </c>
      <c r="BF14" s="7">
        <f t="shared" si="10"/>
        <v>1.898351035054912E-2</v>
      </c>
      <c r="BG14" s="7">
        <f t="shared" si="3"/>
        <v>3.2892014645448915E-3</v>
      </c>
      <c r="BH14" s="7">
        <f t="shared" si="3"/>
        <v>3.4349276790688835E-3</v>
      </c>
      <c r="BI14" s="7">
        <f t="shared" si="3"/>
        <v>7.4622822433115214E-5</v>
      </c>
      <c r="BJ14" s="7">
        <f t="shared" si="3"/>
        <v>4.1970993149545331E-3</v>
      </c>
      <c r="BK14" s="7">
        <f t="shared" si="3"/>
        <v>9.1694195674896506E-3</v>
      </c>
      <c r="BL14" s="7">
        <f t="shared" si="3"/>
        <v>0.37456867034062147</v>
      </c>
      <c r="BM14" s="7">
        <f t="shared" si="3"/>
        <v>8.0391914440782319E-3</v>
      </c>
      <c r="BN14" s="7">
        <f t="shared" si="3"/>
        <v>0</v>
      </c>
      <c r="BO14" s="7">
        <f t="shared" si="3"/>
        <v>2.9856272271618751E-3</v>
      </c>
      <c r="BP14" s="7">
        <f t="shared" si="3"/>
        <v>9.3872380120227079E-4</v>
      </c>
      <c r="BQ14" s="7">
        <f t="shared" si="3"/>
        <v>0</v>
      </c>
      <c r="BR14" s="7">
        <f t="shared" si="3"/>
        <v>0</v>
      </c>
      <c r="BS14" s="7">
        <f t="shared" si="3"/>
        <v>0.34567148281211302</v>
      </c>
      <c r="BT14" s="7">
        <f t="shared" si="3"/>
        <v>0</v>
      </c>
      <c r="BU14" s="7">
        <f t="shared" si="3"/>
        <v>0.13252454556971843</v>
      </c>
      <c r="BV14" s="7">
        <f t="shared" si="3"/>
        <v>8.3599184704861981E-2</v>
      </c>
      <c r="BW14" s="7">
        <f t="shared" si="4"/>
        <v>0</v>
      </c>
      <c r="BX14" s="7">
        <f t="shared" si="4"/>
        <v>1.2523792901202783E-2</v>
      </c>
      <c r="BY14" s="7">
        <f t="shared" si="4"/>
        <v>0</v>
      </c>
      <c r="BZ14" s="72">
        <f t="shared" si="11"/>
        <v>1.0000000000000002</v>
      </c>
      <c r="CA14" s="261">
        <f>SUMPRODUCT(BF14:BY14,$BF$19:$BY$19)</f>
        <v>0.89236638055908568</v>
      </c>
      <c r="CB14" s="74">
        <f t="shared" si="13"/>
        <v>0</v>
      </c>
    </row>
    <row r="15" spans="1:80" x14ac:dyDescent="0.3">
      <c r="A15" s="91">
        <v>37111</v>
      </c>
      <c r="B15" t="s">
        <v>94</v>
      </c>
      <c r="C15" s="88">
        <f>(SUMPRODUCT(G15:AA15,$G$20:$AA$20)+SUMPRODUCT(AG15:BA15,$AG$20:$BA$20))/AC15</f>
        <v>0.56851503633942746</v>
      </c>
      <c r="D15" s="258">
        <f t="shared" si="5"/>
        <v>2.5258113594762581</v>
      </c>
      <c r="E15" s="262">
        <v>3</v>
      </c>
      <c r="F15" s="260">
        <v>4.4428224374495562</v>
      </c>
      <c r="G15" s="8">
        <v>90506.359999477019</v>
      </c>
      <c r="H15" s="8">
        <v>14081.806043124119</v>
      </c>
      <c r="I15" s="8">
        <v>16552.146387395002</v>
      </c>
      <c r="J15" s="8">
        <v>208.22772173969449</v>
      </c>
      <c r="K15" s="8">
        <v>33882.57753570388</v>
      </c>
      <c r="L15" s="8">
        <v>22223.812030666861</v>
      </c>
      <c r="M15" s="95">
        <v>4597.3595861921021</v>
      </c>
      <c r="N15" s="96">
        <v>63700.85182993504</v>
      </c>
      <c r="O15" s="71">
        <v>1229.4492544249999</v>
      </c>
      <c r="P15" s="8">
        <v>2586.4951814880001</v>
      </c>
      <c r="Q15" s="95">
        <v>4249.8170718737138</v>
      </c>
      <c r="R15" s="71">
        <v>0</v>
      </c>
      <c r="S15" s="8">
        <v>0</v>
      </c>
      <c r="T15" s="8">
        <v>6102.3647606934001</v>
      </c>
      <c r="U15" s="8">
        <v>53.36392728904714</v>
      </c>
      <c r="V15" s="8">
        <v>133.37396017992859</v>
      </c>
      <c r="W15" s="8">
        <v>5.688979529</v>
      </c>
      <c r="X15" s="8">
        <v>31.404391139142859</v>
      </c>
      <c r="Y15" s="95">
        <v>306.0531227451329</v>
      </c>
      <c r="Z15" s="97">
        <v>81251.776958341827</v>
      </c>
      <c r="AA15" s="8"/>
      <c r="AB15" s="98">
        <f t="shared" si="6"/>
        <v>9868.4394198608916</v>
      </c>
      <c r="AC15" s="71">
        <f t="shared" si="7"/>
        <v>351571.36816179875</v>
      </c>
      <c r="AD15" s="8">
        <v>30177.575099160182</v>
      </c>
      <c r="AE15" s="95">
        <f t="shared" si="8"/>
        <v>321393.79306263855</v>
      </c>
      <c r="AF15" s="99" t="s">
        <v>95</v>
      </c>
      <c r="AG15" s="100">
        <v>3298.9669836933249</v>
      </c>
      <c r="AH15" s="101">
        <v>494.25384287760602</v>
      </c>
      <c r="AI15" s="101">
        <v>389.60635152089708</v>
      </c>
      <c r="AJ15" s="101">
        <v>5.2017137735435766</v>
      </c>
      <c r="AK15" s="101">
        <v>1690.282620634599</v>
      </c>
      <c r="AL15" s="101">
        <v>938.64122516114844</v>
      </c>
      <c r="AM15" s="98">
        <v>181.06129649761371</v>
      </c>
      <c r="AN15" s="101">
        <v>1453.7349668653069</v>
      </c>
      <c r="AO15" s="100">
        <v>21.8273015667693</v>
      </c>
      <c r="AP15" s="101">
        <v>42.30320010093898</v>
      </c>
      <c r="AQ15" s="98">
        <v>103.8680066837412</v>
      </c>
      <c r="AR15" s="100">
        <v>0</v>
      </c>
      <c r="AS15" s="101">
        <v>0</v>
      </c>
      <c r="AT15" s="101">
        <v>88.973802336510118</v>
      </c>
      <c r="AU15" s="101">
        <v>4.3425358124760383</v>
      </c>
      <c r="AV15" s="101">
        <v>13.26915234182859</v>
      </c>
      <c r="AW15" s="101">
        <v>1.076642089513222</v>
      </c>
      <c r="AX15" s="101">
        <v>-1.041644670073829E-2</v>
      </c>
      <c r="AY15" s="98">
        <v>10.725770516483699</v>
      </c>
      <c r="AZ15" s="100">
        <v>1130.314423835292</v>
      </c>
      <c r="BA15" s="98"/>
      <c r="BB15" s="102">
        <f t="shared" si="9"/>
        <v>9868.4394198608916</v>
      </c>
      <c r="BC15" s="10"/>
      <c r="BD15" s="71">
        <f t="shared" si="2"/>
        <v>37111</v>
      </c>
      <c r="BE15" s="8" t="str">
        <f t="shared" si="2"/>
        <v>Tochten hoge afdeling NOP</v>
      </c>
      <c r="BF15" s="7">
        <f t="shared" si="10"/>
        <v>0.26681731073162829</v>
      </c>
      <c r="BG15" s="7">
        <f t="shared" si="3"/>
        <v>4.1459746742782508E-2</v>
      </c>
      <c r="BH15" s="7">
        <f t="shared" si="3"/>
        <v>4.8188658898750354E-2</v>
      </c>
      <c r="BI15" s="7">
        <f t="shared" si="3"/>
        <v>6.0707285871759178E-4</v>
      </c>
      <c r="BJ15" s="7">
        <f t="shared" si="3"/>
        <v>0.10118247211748849</v>
      </c>
      <c r="BK15" s="7">
        <f t="shared" si="3"/>
        <v>6.5882649593832332E-2</v>
      </c>
      <c r="BL15" s="7">
        <f t="shared" si="3"/>
        <v>1.3591609884712256E-2</v>
      </c>
      <c r="BM15" s="7">
        <f t="shared" si="3"/>
        <v>0.18532392764935046</v>
      </c>
      <c r="BN15" s="7">
        <f t="shared" si="3"/>
        <v>3.559096869958739E-3</v>
      </c>
      <c r="BO15" s="7">
        <f t="shared" si="3"/>
        <v>7.4772823376763843E-3</v>
      </c>
      <c r="BP15" s="7">
        <f t="shared" si="3"/>
        <v>1.2383502960780982E-2</v>
      </c>
      <c r="BQ15" s="7">
        <f t="shared" si="3"/>
        <v>0</v>
      </c>
      <c r="BR15" s="7">
        <f t="shared" si="3"/>
        <v>0</v>
      </c>
      <c r="BS15" s="7">
        <f t="shared" si="3"/>
        <v>1.7610474355182863E-2</v>
      </c>
      <c r="BT15" s="7">
        <f t="shared" si="3"/>
        <v>1.6413868798031853E-4</v>
      </c>
      <c r="BU15" s="7">
        <f t="shared" si="3"/>
        <v>4.1710766519038514E-4</v>
      </c>
      <c r="BV15" s="7">
        <f t="shared" si="3"/>
        <v>1.9243949397493529E-5</v>
      </c>
      <c r="BW15" s="7">
        <f t="shared" si="4"/>
        <v>8.929616440777428E-5</v>
      </c>
      <c r="BX15" s="7">
        <f t="shared" si="4"/>
        <v>9.0103723439682924E-4</v>
      </c>
      <c r="BY15" s="7">
        <f t="shared" si="4"/>
        <v>0.23432537129776612</v>
      </c>
      <c r="BZ15" s="72">
        <f t="shared" si="11"/>
        <v>1.0000000000000002</v>
      </c>
      <c r="CA15" s="261">
        <f>SUMPRODUCT(BF15:BY15,$BF$20:$BY$20)</f>
        <v>0.56851503633942757</v>
      </c>
      <c r="CB15" s="74">
        <f t="shared" si="13"/>
        <v>0</v>
      </c>
    </row>
    <row r="16" spans="1:80" x14ac:dyDescent="0.3">
      <c r="A16" s="91">
        <v>37112</v>
      </c>
      <c r="B16" t="s">
        <v>96</v>
      </c>
      <c r="C16" s="88">
        <f>(SUMPRODUCT(G16:AA16,$G$20:$AA$20)+SUMPRODUCT(AG16:BA16,$AG$20:$BA$20))/AC16</f>
        <v>0.59033743571086328</v>
      </c>
      <c r="D16" s="258">
        <f t="shared" si="5"/>
        <v>2.4121557570192977</v>
      </c>
      <c r="E16" s="262">
        <v>3.8</v>
      </c>
      <c r="F16" s="260">
        <v>4.0860626670484921</v>
      </c>
      <c r="G16" s="8">
        <v>9687.3346096434943</v>
      </c>
      <c r="H16" s="8">
        <v>2925.5117087357489</v>
      </c>
      <c r="I16" s="8">
        <v>2723.5140484729909</v>
      </c>
      <c r="J16" s="8">
        <v>14.634554445012711</v>
      </c>
      <c r="K16" s="8">
        <v>6354.6929784010154</v>
      </c>
      <c r="L16" s="8">
        <v>6858.9011330954763</v>
      </c>
      <c r="M16" s="95">
        <v>6583.8822839312488</v>
      </c>
      <c r="N16" s="96">
        <v>163021.92939191739</v>
      </c>
      <c r="O16" s="71">
        <v>78.407279348571436</v>
      </c>
      <c r="P16" s="8">
        <v>104.81574182</v>
      </c>
      <c r="Q16" s="95">
        <v>943.98042861428564</v>
      </c>
      <c r="R16" s="71">
        <v>47593.971428571429</v>
      </c>
      <c r="S16" s="8">
        <v>0</v>
      </c>
      <c r="T16" s="8">
        <v>2886.6732796000001</v>
      </c>
      <c r="U16" s="8">
        <v>169.35630512714289</v>
      </c>
      <c r="V16" s="8">
        <v>463.04481884857142</v>
      </c>
      <c r="W16" s="8">
        <v>2.1506248389999998</v>
      </c>
      <c r="X16" s="8">
        <v>1139.278768893857</v>
      </c>
      <c r="Y16" s="95">
        <v>167.80664843785721</v>
      </c>
      <c r="Z16" s="97">
        <v>44219.268055149907</v>
      </c>
      <c r="AA16" s="8"/>
      <c r="AB16" s="98">
        <f t="shared" si="6"/>
        <v>1526975.8454291318</v>
      </c>
      <c r="AC16" s="71">
        <f t="shared" si="7"/>
        <v>1822914.999517025</v>
      </c>
      <c r="AD16" s="8">
        <v>35741.359053932698</v>
      </c>
      <c r="AE16" s="95">
        <f t="shared" si="8"/>
        <v>1787173.6404630924</v>
      </c>
      <c r="AF16" s="99" t="s">
        <v>97</v>
      </c>
      <c r="AG16" s="100">
        <v>461469.46731760941</v>
      </c>
      <c r="AH16" s="101">
        <v>70304.790527285862</v>
      </c>
      <c r="AI16" s="101">
        <v>59323.802514417781</v>
      </c>
      <c r="AJ16" s="101">
        <v>760.98096222428057</v>
      </c>
      <c r="AK16" s="101">
        <v>235293.4403612953</v>
      </c>
      <c r="AL16" s="101">
        <v>130976.6454344056</v>
      </c>
      <c r="AM16" s="98">
        <v>23437.783804186129</v>
      </c>
      <c r="AN16" s="101">
        <v>255710.5957321607</v>
      </c>
      <c r="AO16" s="100">
        <v>4058.4841003752422</v>
      </c>
      <c r="AP16" s="101">
        <v>8030.3535979001881</v>
      </c>
      <c r="AQ16" s="98">
        <v>18044.322792939329</v>
      </c>
      <c r="AR16" s="100">
        <v>0</v>
      </c>
      <c r="AS16" s="101">
        <v>0</v>
      </c>
      <c r="AT16" s="101">
        <v>17416.262744220581</v>
      </c>
      <c r="AU16" s="101">
        <v>655.82415325460079</v>
      </c>
      <c r="AV16" s="101">
        <v>1980.160818657306</v>
      </c>
      <c r="AW16" s="101">
        <v>156.11935983038941</v>
      </c>
      <c r="AX16" s="101">
        <v>23.709882366056139</v>
      </c>
      <c r="AY16" s="98">
        <v>1758.8893461450521</v>
      </c>
      <c r="AZ16" s="100">
        <v>237574.21197985791</v>
      </c>
      <c r="BA16" s="98"/>
      <c r="BB16" s="102">
        <f t="shared" si="9"/>
        <v>1526975.8454291318</v>
      </c>
      <c r="BC16" s="10"/>
      <c r="BD16" s="71">
        <f t="shared" si="2"/>
        <v>37112</v>
      </c>
      <c r="BE16" s="8" t="str">
        <f t="shared" si="2"/>
        <v>Vaarten NOP</v>
      </c>
      <c r="BF16" s="7">
        <f t="shared" si="10"/>
        <v>0.25846339629224857</v>
      </c>
      <c r="BG16" s="7">
        <f t="shared" si="3"/>
        <v>4.0172088251741706E-2</v>
      </c>
      <c r="BH16" s="7">
        <f t="shared" si="3"/>
        <v>3.4037416214870136E-2</v>
      </c>
      <c r="BI16" s="7">
        <f t="shared" si="3"/>
        <v>4.2548090112528008E-4</v>
      </c>
      <c r="BJ16" s="7">
        <f t="shared" si="3"/>
        <v>0.13256138295187661</v>
      </c>
      <c r="BK16" s="7">
        <f t="shared" si="3"/>
        <v>7.5612711840113284E-2</v>
      </c>
      <c r="BL16" s="7">
        <f t="shared" si="3"/>
        <v>1.6469043315827405E-2</v>
      </c>
      <c r="BM16" s="7">
        <f t="shared" si="3"/>
        <v>0.22970490957341391</v>
      </c>
      <c r="BN16" s="7">
        <f t="shared" si="3"/>
        <v>2.2693824894851754E-3</v>
      </c>
      <c r="BO16" s="7">
        <f t="shared" si="3"/>
        <v>4.4627255477493865E-3</v>
      </c>
      <c r="BP16" s="7">
        <f t="shared" si="3"/>
        <v>1.0416450150766492E-2</v>
      </c>
      <c r="BQ16" s="7">
        <f t="shared" si="3"/>
        <v>2.610871677570336E-2</v>
      </c>
      <c r="BR16" s="7">
        <f t="shared" si="3"/>
        <v>0</v>
      </c>
      <c r="BS16" s="7">
        <f t="shared" si="3"/>
        <v>1.113762080470004E-2</v>
      </c>
      <c r="BT16" s="7">
        <f t="shared" si="3"/>
        <v>4.5267083687411223E-4</v>
      </c>
      <c r="BU16" s="7">
        <f t="shared" si="3"/>
        <v>1.340274032608869E-3</v>
      </c>
      <c r="BV16" s="7">
        <f t="shared" si="3"/>
        <v>8.6822470993613241E-5</v>
      </c>
      <c r="BW16" s="7">
        <f t="shared" si="4"/>
        <v>6.3798292930171885E-4</v>
      </c>
      <c r="BX16" s="7">
        <f t="shared" si="4"/>
        <v>1.0569313407884518E-3</v>
      </c>
      <c r="BY16" s="7">
        <f t="shared" si="4"/>
        <v>0.15458399327981173</v>
      </c>
      <c r="BZ16" s="72">
        <f t="shared" si="11"/>
        <v>0.99999999999999978</v>
      </c>
      <c r="CA16" s="261">
        <f>SUMPRODUCT(BF16:BY16,$BF$20:$BY$20)</f>
        <v>0.59033743571086328</v>
      </c>
      <c r="CB16" s="74">
        <f t="shared" si="13"/>
        <v>0</v>
      </c>
    </row>
    <row r="17" spans="1:80" x14ac:dyDescent="0.3">
      <c r="A17" s="91">
        <v>37113</v>
      </c>
      <c r="B17" t="s">
        <v>98</v>
      </c>
      <c r="C17" s="88">
        <f t="shared" si="1"/>
        <v>0.84551972397175035</v>
      </c>
      <c r="D17" s="258">
        <f t="shared" si="5"/>
        <v>2.4950848472711216</v>
      </c>
      <c r="E17" s="262">
        <v>2.5</v>
      </c>
      <c r="F17" s="260">
        <v>2.9509481287446406</v>
      </c>
      <c r="G17" s="8">
        <v>17206.875205294291</v>
      </c>
      <c r="H17" s="8">
        <v>5463.3743531392811</v>
      </c>
      <c r="I17" s="8">
        <v>13788.401430688469</v>
      </c>
      <c r="J17" s="8">
        <v>22.364437945428239</v>
      </c>
      <c r="K17" s="8">
        <v>14856.17426212598</v>
      </c>
      <c r="L17" s="8">
        <v>21059.272618404819</v>
      </c>
      <c r="M17" s="95">
        <v>7410.8906629575522</v>
      </c>
      <c r="N17" s="96">
        <v>214059.09994430779</v>
      </c>
      <c r="O17" s="71">
        <v>588.06459508571425</v>
      </c>
      <c r="P17" s="8">
        <v>2.4612783</v>
      </c>
      <c r="Q17" s="95">
        <v>2384.0357844285709</v>
      </c>
      <c r="R17" s="71">
        <v>10127.428571428571</v>
      </c>
      <c r="S17" s="8">
        <v>0</v>
      </c>
      <c r="T17" s="8">
        <v>4560.3323363999998</v>
      </c>
      <c r="U17" s="8">
        <v>83.227122948571434</v>
      </c>
      <c r="V17" s="8">
        <v>771.46195599999999</v>
      </c>
      <c r="W17" s="8">
        <v>1.8065248650000001</v>
      </c>
      <c r="X17" s="8">
        <v>762.87220705599998</v>
      </c>
      <c r="Y17" s="95">
        <v>153.8191741265714</v>
      </c>
      <c r="Z17" s="97">
        <v>37381.682309082877</v>
      </c>
      <c r="AA17" s="8"/>
      <c r="AB17" s="98">
        <f t="shared" si="6"/>
        <v>667995.46160933282</v>
      </c>
      <c r="AC17" s="71">
        <f t="shared" si="7"/>
        <v>1018679.1063839182</v>
      </c>
      <c r="AD17" s="8">
        <v>56451.247236216703</v>
      </c>
      <c r="AE17" s="95">
        <f t="shared" si="8"/>
        <v>962227.85914770153</v>
      </c>
      <c r="AF17" s="99" t="s">
        <v>99</v>
      </c>
      <c r="AG17" s="100">
        <v>65744.262922715629</v>
      </c>
      <c r="AH17" s="101">
        <v>17738.088160111169</v>
      </c>
      <c r="AI17" s="101">
        <v>19545.05149821773</v>
      </c>
      <c r="AJ17" s="101">
        <v>123.43908443615101</v>
      </c>
      <c r="AK17" s="101">
        <v>61299.175606746641</v>
      </c>
      <c r="AL17" s="101">
        <v>50850.241184004088</v>
      </c>
      <c r="AM17" s="98">
        <v>67422.429758071245</v>
      </c>
      <c r="AN17" s="101">
        <v>318445.63746376388</v>
      </c>
      <c r="AO17" s="100">
        <v>2475.3922874936129</v>
      </c>
      <c r="AP17" s="101">
        <v>38.298034974855277</v>
      </c>
      <c r="AQ17" s="98">
        <v>5734.7086162794731</v>
      </c>
      <c r="AR17" s="100">
        <v>0</v>
      </c>
      <c r="AS17" s="101">
        <v>0</v>
      </c>
      <c r="AT17" s="101">
        <v>34410.630224163731</v>
      </c>
      <c r="AU17" s="101">
        <v>50.86879956093378</v>
      </c>
      <c r="AV17" s="101">
        <v>21676.335947639371</v>
      </c>
      <c r="AW17" s="101">
        <v>956.53405110060646</v>
      </c>
      <c r="AX17" s="101">
        <v>66.808218944574108</v>
      </c>
      <c r="AY17" s="98">
        <v>1339.151088513134</v>
      </c>
      <c r="AZ17" s="100">
        <v>78.408662596002642</v>
      </c>
      <c r="BA17" s="98"/>
      <c r="BB17" s="102">
        <f t="shared" si="9"/>
        <v>667995.46160933282</v>
      </c>
      <c r="BC17" s="10"/>
      <c r="BD17" s="71">
        <f t="shared" si="2"/>
        <v>37113</v>
      </c>
      <c r="BE17" s="8" t="str">
        <f t="shared" si="2"/>
        <v>Vaarten hoge afdeling ZOF</v>
      </c>
      <c r="BF17" s="7">
        <f t="shared" si="10"/>
        <v>8.143009668910145E-2</v>
      </c>
      <c r="BG17" s="7">
        <f t="shared" si="3"/>
        <v>2.2776026687747065E-2</v>
      </c>
      <c r="BH17" s="7">
        <f t="shared" si="3"/>
        <v>3.2722230896864532E-2</v>
      </c>
      <c r="BI17" s="7">
        <f t="shared" si="3"/>
        <v>1.4312998221701923E-4</v>
      </c>
      <c r="BJ17" s="7">
        <f t="shared" si="3"/>
        <v>7.4758920048146466E-2</v>
      </c>
      <c r="BK17" s="7">
        <f t="shared" si="3"/>
        <v>7.059093815880009E-2</v>
      </c>
      <c r="BL17" s="7">
        <f t="shared" si="3"/>
        <v>7.3461132119093178E-2</v>
      </c>
      <c r="BM17" s="7">
        <f t="shared" si="3"/>
        <v>0.52274041361105728</v>
      </c>
      <c r="BN17" s="7">
        <f t="shared" si="3"/>
        <v>3.0072835138966482E-3</v>
      </c>
      <c r="BO17" s="7">
        <f t="shared" si="3"/>
        <v>4.0011926247846265E-5</v>
      </c>
      <c r="BP17" s="7">
        <f t="shared" si="3"/>
        <v>7.9698742713274658E-3</v>
      </c>
      <c r="BQ17" s="7">
        <f t="shared" si="3"/>
        <v>9.941726013581122E-3</v>
      </c>
      <c r="BR17" s="7">
        <f t="shared" si="3"/>
        <v>0</v>
      </c>
      <c r="BS17" s="7">
        <f t="shared" si="3"/>
        <v>3.8256367796628214E-2</v>
      </c>
      <c r="BT17" s="7">
        <f t="shared" si="3"/>
        <v>1.3163705986423495E-4</v>
      </c>
      <c r="BU17" s="7">
        <f t="shared" si="3"/>
        <v>2.203618172097787E-2</v>
      </c>
      <c r="BV17" s="7">
        <f t="shared" si="3"/>
        <v>9.4076787278724115E-4</v>
      </c>
      <c r="BW17" s="7">
        <f t="shared" si="4"/>
        <v>8.1446691190688412E-4</v>
      </c>
      <c r="BX17" s="7">
        <f t="shared" si="4"/>
        <v>1.4655942713298737E-3</v>
      </c>
      <c r="BY17" s="7">
        <f t="shared" si="4"/>
        <v>3.6773200448425594E-2</v>
      </c>
      <c r="BZ17" s="72">
        <f t="shared" si="11"/>
        <v>1</v>
      </c>
      <c r="CA17" s="261">
        <f>SUMPRODUCT(BF17:BY17,$BF$19:$BY$19)</f>
        <v>0.84551972397175035</v>
      </c>
      <c r="CB17" s="74">
        <f t="shared" si="13"/>
        <v>0</v>
      </c>
    </row>
    <row r="18" spans="1:80" x14ac:dyDescent="0.3">
      <c r="A18" s="105">
        <v>37114</v>
      </c>
      <c r="B18" s="243" t="s">
        <v>100</v>
      </c>
      <c r="C18" s="107">
        <f t="shared" si="1"/>
        <v>0.79000657148105846</v>
      </c>
      <c r="D18" s="263">
        <f t="shared" si="5"/>
        <v>3.151201724009371</v>
      </c>
      <c r="E18" s="264">
        <v>3.8</v>
      </c>
      <c r="F18" s="265">
        <v>3.9888297613799351</v>
      </c>
      <c r="G18" s="110">
        <v>15646.38982715784</v>
      </c>
      <c r="H18" s="110">
        <v>4359.7478913653586</v>
      </c>
      <c r="I18" s="110">
        <v>8117.3574395877349</v>
      </c>
      <c r="J18" s="110">
        <v>28.088417112302491</v>
      </c>
      <c r="K18" s="110">
        <v>6010.7683883511754</v>
      </c>
      <c r="L18" s="110">
        <v>15709.70711113733</v>
      </c>
      <c r="M18" s="111">
        <v>28216.859649192469</v>
      </c>
      <c r="N18" s="112">
        <v>537964.35104627884</v>
      </c>
      <c r="O18" s="113">
        <v>196.02105549999999</v>
      </c>
      <c r="P18" s="110">
        <v>4575.3976949999997</v>
      </c>
      <c r="Q18" s="111">
        <v>1742.712159142857</v>
      </c>
      <c r="R18" s="113">
        <v>126325.5285714286</v>
      </c>
      <c r="S18" s="110">
        <v>1476.1428571428571</v>
      </c>
      <c r="T18" s="110">
        <v>10117.598156</v>
      </c>
      <c r="U18" s="110">
        <v>354.89526305714293</v>
      </c>
      <c r="V18" s="110">
        <v>9196.2563861428571</v>
      </c>
      <c r="W18" s="110">
        <v>264.14936840000001</v>
      </c>
      <c r="X18" s="110">
        <v>1062.2954734414291</v>
      </c>
      <c r="Y18" s="111">
        <v>521.60877864571432</v>
      </c>
      <c r="Z18" s="266">
        <v>29590.917287102191</v>
      </c>
      <c r="AA18" s="110"/>
      <c r="AB18" s="115">
        <f t="shared" si="6"/>
        <v>1280580.1100626395</v>
      </c>
      <c r="AC18" s="113">
        <f t="shared" si="7"/>
        <v>2082056.9028838263</v>
      </c>
      <c r="AD18" s="110">
        <v>87162.664142635418</v>
      </c>
      <c r="AE18" s="111">
        <f t="shared" si="8"/>
        <v>1994894.2387411909</v>
      </c>
      <c r="AF18" s="116" t="s">
        <v>101</v>
      </c>
      <c r="AG18" s="117">
        <v>171395.19937433061</v>
      </c>
      <c r="AH18" s="118">
        <v>56014.698088501813</v>
      </c>
      <c r="AI18" s="118">
        <v>75730.604681114535</v>
      </c>
      <c r="AJ18" s="118">
        <v>194.30806909780659</v>
      </c>
      <c r="AK18" s="118">
        <v>82730.678264003509</v>
      </c>
      <c r="AL18" s="118">
        <v>123022.3164472833</v>
      </c>
      <c r="AM18" s="115">
        <v>47274.205756848212</v>
      </c>
      <c r="AN18" s="118">
        <v>642938.35344167287</v>
      </c>
      <c r="AO18" s="117">
        <v>3298.0189186831321</v>
      </c>
      <c r="AP18" s="118">
        <v>91.766609722776721</v>
      </c>
      <c r="AQ18" s="115">
        <v>14312.94088434108</v>
      </c>
      <c r="AR18" s="117">
        <v>1066.9919334898759</v>
      </c>
      <c r="AS18" s="118">
        <v>0</v>
      </c>
      <c r="AT18" s="118">
        <v>28208.026532743021</v>
      </c>
      <c r="AU18" s="118">
        <v>162.5796282310915</v>
      </c>
      <c r="AV18" s="118">
        <v>23743.116709217618</v>
      </c>
      <c r="AW18" s="118">
        <v>1534.2127290852841</v>
      </c>
      <c r="AX18" s="118">
        <v>102.6918464578774</v>
      </c>
      <c r="AY18" s="115">
        <v>2201.7814141562139</v>
      </c>
      <c r="AZ18" s="117">
        <v>6557.6187336589383</v>
      </c>
      <c r="BA18" s="115"/>
      <c r="BB18" s="119">
        <f t="shared" si="9"/>
        <v>1280580.1100626395</v>
      </c>
      <c r="BC18" s="10"/>
      <c r="BD18" s="113">
        <f t="shared" si="2"/>
        <v>37114</v>
      </c>
      <c r="BE18" s="110" t="str">
        <f t="shared" si="2"/>
        <v>Vaarten Lage afdeling ZOF</v>
      </c>
      <c r="BF18" s="120">
        <f t="shared" si="10"/>
        <v>8.9835003520998824E-2</v>
      </c>
      <c r="BG18" s="120">
        <f t="shared" si="3"/>
        <v>2.8997500450753014E-2</v>
      </c>
      <c r="BH18" s="120">
        <f t="shared" si="3"/>
        <v>4.0271695746915318E-2</v>
      </c>
      <c r="BI18" s="120">
        <f t="shared" si="3"/>
        <v>1.0681575796611081E-4</v>
      </c>
      <c r="BJ18" s="120">
        <f t="shared" si="3"/>
        <v>4.262200832716926E-2</v>
      </c>
      <c r="BK18" s="120">
        <f t="shared" si="3"/>
        <v>6.6632195962687157E-2</v>
      </c>
      <c r="BL18" s="120">
        <f t="shared" si="3"/>
        <v>3.6257926140961433E-2</v>
      </c>
      <c r="BM18" s="120">
        <f t="shared" si="3"/>
        <v>0.56718080224046752</v>
      </c>
      <c r="BN18" s="120">
        <f t="shared" si="3"/>
        <v>1.6781673782995982E-3</v>
      </c>
      <c r="BO18" s="120">
        <f t="shared" si="3"/>
        <v>2.2416122721037814E-3</v>
      </c>
      <c r="BP18" s="120">
        <f t="shared" si="3"/>
        <v>7.7114381558186472E-3</v>
      </c>
      <c r="BQ18" s="120">
        <f t="shared" si="3"/>
        <v>6.1185897622907888E-2</v>
      </c>
      <c r="BR18" s="120">
        <f t="shared" si="3"/>
        <v>7.0898295579639226E-4</v>
      </c>
      <c r="BS18" s="120">
        <f t="shared" si="3"/>
        <v>1.8407577927221277E-2</v>
      </c>
      <c r="BT18" s="120">
        <f t="shared" si="3"/>
        <v>2.4854022508774261E-4</v>
      </c>
      <c r="BU18" s="120">
        <f t="shared" si="3"/>
        <v>1.5820592150837299E-2</v>
      </c>
      <c r="BV18" s="120">
        <f t="shared" si="3"/>
        <v>8.6374301057497475E-4</v>
      </c>
      <c r="BW18" s="120">
        <f t="shared" si="4"/>
        <v>5.5953673421975142E-4</v>
      </c>
      <c r="BX18" s="120">
        <f t="shared" si="4"/>
        <v>1.3080287042250385E-3</v>
      </c>
      <c r="BY18" s="120">
        <f t="shared" si="4"/>
        <v>1.7361934714988973E-2</v>
      </c>
      <c r="BZ18" s="121">
        <f t="shared" si="11"/>
        <v>0.99999999999999989</v>
      </c>
      <c r="CA18" s="261">
        <f>SUMPRODUCT(BF18:BY18,$BF$19:$BY$19)</f>
        <v>0.79000657148105857</v>
      </c>
      <c r="CB18" s="74">
        <f t="shared" si="13"/>
        <v>0</v>
      </c>
    </row>
    <row r="19" spans="1:80" x14ac:dyDescent="0.3">
      <c r="A19" s="5"/>
      <c r="B19" s="6" t="s">
        <v>102</v>
      </c>
      <c r="G19" s="134">
        <v>0</v>
      </c>
      <c r="H19" s="134">
        <v>0</v>
      </c>
      <c r="I19" s="134">
        <v>1</v>
      </c>
      <c r="J19" s="134">
        <v>1</v>
      </c>
      <c r="K19" s="134">
        <v>1</v>
      </c>
      <c r="L19" s="134">
        <v>1</v>
      </c>
      <c r="M19" s="134">
        <v>1</v>
      </c>
      <c r="N19" s="134">
        <v>1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1</v>
      </c>
      <c r="U19" s="134">
        <v>0</v>
      </c>
      <c r="V19" s="134">
        <v>0.48</v>
      </c>
      <c r="W19" s="134">
        <v>1</v>
      </c>
      <c r="X19" s="134">
        <v>0</v>
      </c>
      <c r="Y19" s="134">
        <v>0</v>
      </c>
      <c r="Z19" s="134">
        <v>0.57999999999999996</v>
      </c>
      <c r="AA19" s="134"/>
      <c r="AB19" s="5"/>
      <c r="AC19" s="5"/>
      <c r="AD19" s="5"/>
      <c r="AE19" s="5"/>
      <c r="AF19" s="5"/>
      <c r="AG19" s="134">
        <v>0</v>
      </c>
      <c r="AH19" s="134">
        <v>0</v>
      </c>
      <c r="AI19" s="134">
        <v>1</v>
      </c>
      <c r="AJ19" s="134">
        <v>1</v>
      </c>
      <c r="AK19" s="134">
        <v>1</v>
      </c>
      <c r="AL19" s="134">
        <v>1</v>
      </c>
      <c r="AM19" s="134">
        <v>1</v>
      </c>
      <c r="AN19" s="134">
        <v>1</v>
      </c>
      <c r="AO19" s="134">
        <v>0</v>
      </c>
      <c r="AP19" s="134">
        <v>0</v>
      </c>
      <c r="AQ19" s="134">
        <v>0</v>
      </c>
      <c r="AR19" s="134">
        <v>0</v>
      </c>
      <c r="AS19" s="134">
        <v>0</v>
      </c>
      <c r="AT19" s="134">
        <v>1</v>
      </c>
      <c r="AU19" s="134">
        <v>0</v>
      </c>
      <c r="AV19" s="134">
        <v>0.48</v>
      </c>
      <c r="AW19" s="134">
        <v>1</v>
      </c>
      <c r="AX19" s="134">
        <v>0</v>
      </c>
      <c r="AY19" s="134">
        <v>0</v>
      </c>
      <c r="AZ19" s="134">
        <v>0.57999999999999996</v>
      </c>
      <c r="BA19" s="134">
        <v>0</v>
      </c>
      <c r="BB19" s="5"/>
      <c r="BC19" s="8"/>
      <c r="BD19" s="5"/>
      <c r="BE19" s="5"/>
      <c r="BF19" s="134">
        <f>G19</f>
        <v>0</v>
      </c>
      <c r="BG19" s="134">
        <f t="shared" ref="BG19:BV20" si="14">H19</f>
        <v>0</v>
      </c>
      <c r="BH19" s="134">
        <f t="shared" si="14"/>
        <v>1</v>
      </c>
      <c r="BI19" s="134">
        <f t="shared" si="14"/>
        <v>1</v>
      </c>
      <c r="BJ19" s="134">
        <f t="shared" si="14"/>
        <v>1</v>
      </c>
      <c r="BK19" s="134">
        <f t="shared" si="14"/>
        <v>1</v>
      </c>
      <c r="BL19" s="134">
        <f t="shared" si="14"/>
        <v>1</v>
      </c>
      <c r="BM19" s="134">
        <f t="shared" si="14"/>
        <v>1</v>
      </c>
      <c r="BN19" s="134">
        <f t="shared" si="14"/>
        <v>0</v>
      </c>
      <c r="BO19" s="134">
        <f t="shared" si="14"/>
        <v>0</v>
      </c>
      <c r="BP19" s="134">
        <f t="shared" si="14"/>
        <v>0</v>
      </c>
      <c r="BQ19" s="134">
        <f t="shared" si="14"/>
        <v>0</v>
      </c>
      <c r="BR19" s="134">
        <f t="shared" si="14"/>
        <v>0</v>
      </c>
      <c r="BS19" s="134">
        <f t="shared" si="14"/>
        <v>1</v>
      </c>
      <c r="BT19" s="134">
        <f t="shared" si="14"/>
        <v>0</v>
      </c>
      <c r="BU19" s="134">
        <f t="shared" si="14"/>
        <v>0.48</v>
      </c>
      <c r="BV19" s="134">
        <f t="shared" si="14"/>
        <v>1</v>
      </c>
      <c r="BW19" s="134">
        <f t="shared" ref="BW19:BY20" si="15">X19</f>
        <v>0</v>
      </c>
      <c r="BX19" s="134">
        <f t="shared" si="15"/>
        <v>0</v>
      </c>
      <c r="BY19" s="134">
        <f t="shared" si="15"/>
        <v>0.57999999999999996</v>
      </c>
      <c r="BZ19" s="90"/>
      <c r="CA19" s="7"/>
      <c r="CB19" s="5"/>
    </row>
    <row r="20" spans="1:80" x14ac:dyDescent="0.3">
      <c r="A20" s="5"/>
      <c r="F20" s="10"/>
      <c r="G20" s="134">
        <v>0</v>
      </c>
      <c r="H20" s="134">
        <v>0</v>
      </c>
      <c r="I20" s="134">
        <v>1</v>
      </c>
      <c r="J20" s="134">
        <v>1</v>
      </c>
      <c r="K20" s="134">
        <v>1</v>
      </c>
      <c r="L20" s="134">
        <v>1</v>
      </c>
      <c r="M20" s="134">
        <v>1</v>
      </c>
      <c r="N20" s="134">
        <v>1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1</v>
      </c>
      <c r="U20" s="134">
        <v>0</v>
      </c>
      <c r="V20" s="134">
        <v>0.48</v>
      </c>
      <c r="W20" s="134">
        <v>1</v>
      </c>
      <c r="X20" s="134">
        <v>0</v>
      </c>
      <c r="Y20" s="134">
        <v>0</v>
      </c>
      <c r="Z20" s="134">
        <v>0.57999999999999996</v>
      </c>
      <c r="AA20" s="134"/>
      <c r="AG20" s="134">
        <v>0</v>
      </c>
      <c r="AH20" s="134">
        <v>0</v>
      </c>
      <c r="AI20" s="134">
        <v>1</v>
      </c>
      <c r="AJ20" s="134">
        <v>1</v>
      </c>
      <c r="AK20" s="134">
        <v>1</v>
      </c>
      <c r="AL20" s="134">
        <v>1</v>
      </c>
      <c r="AM20" s="134">
        <v>1</v>
      </c>
      <c r="AN20" s="134">
        <v>1</v>
      </c>
      <c r="AO20" s="134">
        <v>0</v>
      </c>
      <c r="AP20" s="134">
        <v>0</v>
      </c>
      <c r="AQ20" s="134">
        <v>0</v>
      </c>
      <c r="AR20" s="134">
        <v>0</v>
      </c>
      <c r="AS20" s="134">
        <v>0</v>
      </c>
      <c r="AT20" s="134">
        <v>1</v>
      </c>
      <c r="AU20" s="134">
        <v>0</v>
      </c>
      <c r="AV20" s="134">
        <v>0.48</v>
      </c>
      <c r="AW20" s="134">
        <v>1</v>
      </c>
      <c r="AX20" s="134">
        <v>0</v>
      </c>
      <c r="AY20" s="134">
        <v>0</v>
      </c>
      <c r="AZ20" s="134">
        <v>0.57999999999999996</v>
      </c>
      <c r="BA20" s="134">
        <v>0</v>
      </c>
      <c r="BC20" s="10"/>
      <c r="BF20" s="134">
        <f>G20</f>
        <v>0</v>
      </c>
      <c r="BG20" s="134">
        <f t="shared" si="14"/>
        <v>0</v>
      </c>
      <c r="BH20" s="134">
        <f t="shared" si="14"/>
        <v>1</v>
      </c>
      <c r="BI20" s="134">
        <f t="shared" si="14"/>
        <v>1</v>
      </c>
      <c r="BJ20" s="134">
        <f t="shared" si="14"/>
        <v>1</v>
      </c>
      <c r="BK20" s="134">
        <f t="shared" si="14"/>
        <v>1</v>
      </c>
      <c r="BL20" s="134">
        <f t="shared" si="14"/>
        <v>1</v>
      </c>
      <c r="BM20" s="134">
        <f t="shared" si="14"/>
        <v>1</v>
      </c>
      <c r="BN20" s="134">
        <f t="shared" si="14"/>
        <v>0</v>
      </c>
      <c r="BO20" s="134">
        <f t="shared" si="14"/>
        <v>0</v>
      </c>
      <c r="BP20" s="134">
        <f t="shared" si="14"/>
        <v>0</v>
      </c>
      <c r="BQ20" s="134">
        <f t="shared" si="14"/>
        <v>0</v>
      </c>
      <c r="BR20" s="134">
        <f t="shared" si="14"/>
        <v>0</v>
      </c>
      <c r="BS20" s="134">
        <f t="shared" si="14"/>
        <v>1</v>
      </c>
      <c r="BT20" s="134">
        <f t="shared" si="14"/>
        <v>0</v>
      </c>
      <c r="BU20" s="134">
        <f t="shared" si="14"/>
        <v>0.48</v>
      </c>
      <c r="BV20" s="134">
        <f t="shared" si="14"/>
        <v>1</v>
      </c>
      <c r="BW20" s="134">
        <f t="shared" si="15"/>
        <v>0</v>
      </c>
      <c r="BX20" s="134">
        <f t="shared" si="15"/>
        <v>0</v>
      </c>
      <c r="BY20" s="134">
        <f t="shared" si="15"/>
        <v>0.57999999999999996</v>
      </c>
      <c r="BZ20" s="90"/>
      <c r="CA20" s="7"/>
      <c r="CB20" s="5"/>
    </row>
    <row r="21" spans="1:80" s="138" customFormat="1" ht="14.7" customHeight="1" x14ac:dyDescent="0.3">
      <c r="A21" s="57"/>
      <c r="B21" s="267"/>
      <c r="C21" s="361" t="s">
        <v>200</v>
      </c>
      <c r="D21" s="341"/>
      <c r="E21" s="341"/>
      <c r="F21" s="342"/>
      <c r="G21" s="343" t="s">
        <v>177</v>
      </c>
      <c r="H21" s="343"/>
      <c r="I21" s="343"/>
      <c r="J21" s="343"/>
      <c r="K21" s="343"/>
      <c r="L21" s="343"/>
      <c r="M21" s="344"/>
      <c r="N21" s="140" t="s">
        <v>105</v>
      </c>
      <c r="O21" s="345" t="s">
        <v>106</v>
      </c>
      <c r="P21" s="343"/>
      <c r="Q21" s="344"/>
      <c r="R21" s="345" t="s">
        <v>178</v>
      </c>
      <c r="S21" s="343"/>
      <c r="T21" s="343"/>
      <c r="U21" s="343"/>
      <c r="V21" s="343"/>
      <c r="W21" s="343"/>
      <c r="X21" s="343"/>
      <c r="Y21" s="344"/>
      <c r="Z21" s="345" t="s">
        <v>179</v>
      </c>
      <c r="AA21" s="343"/>
      <c r="AB21" s="343"/>
      <c r="AC21" s="345" t="s">
        <v>180</v>
      </c>
      <c r="AD21" s="343"/>
      <c r="AE21" s="344"/>
      <c r="AF21" s="141" t="s">
        <v>11</v>
      </c>
      <c r="AG21" s="327" t="s">
        <v>177</v>
      </c>
      <c r="AH21" s="328"/>
      <c r="AI21" s="328"/>
      <c r="AJ21" s="328"/>
      <c r="AK21" s="328"/>
      <c r="AL21" s="328"/>
      <c r="AM21" s="329"/>
      <c r="AN21" s="142"/>
      <c r="AO21" s="327" t="s">
        <v>106</v>
      </c>
      <c r="AP21" s="328"/>
      <c r="AQ21" s="329"/>
      <c r="AR21" s="327" t="s">
        <v>178</v>
      </c>
      <c r="AS21" s="328"/>
      <c r="AT21" s="328"/>
      <c r="AU21" s="328"/>
      <c r="AV21" s="328"/>
      <c r="AW21" s="328"/>
      <c r="AX21" s="328"/>
      <c r="AY21" s="329"/>
      <c r="AZ21" s="327" t="s">
        <v>181</v>
      </c>
      <c r="BA21" s="329"/>
      <c r="BB21" s="143" t="s">
        <v>175</v>
      </c>
      <c r="BC21" s="10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Y21" s="7"/>
      <c r="BZ21" s="90"/>
    </row>
    <row r="22" spans="1:80" s="16" customFormat="1" ht="43.2" customHeight="1" x14ac:dyDescent="0.3">
      <c r="A22" s="17" t="s">
        <v>19</v>
      </c>
      <c r="B22" s="190" t="s">
        <v>20</v>
      </c>
      <c r="C22" s="268" t="s">
        <v>113</v>
      </c>
      <c r="D22" s="147" t="s">
        <v>114</v>
      </c>
      <c r="E22" s="269" t="s">
        <v>115</v>
      </c>
      <c r="F22" s="148" t="s">
        <v>116</v>
      </c>
      <c r="G22" s="149" t="s">
        <v>25</v>
      </c>
      <c r="H22" s="149" t="s">
        <v>26</v>
      </c>
      <c r="I22" s="149" t="s">
        <v>27</v>
      </c>
      <c r="J22" s="149" t="s">
        <v>28</v>
      </c>
      <c r="K22" s="149" t="s">
        <v>29</v>
      </c>
      <c r="L22" s="149" t="s">
        <v>30</v>
      </c>
      <c r="M22" s="150" t="s">
        <v>31</v>
      </c>
      <c r="N22" s="151" t="s">
        <v>32</v>
      </c>
      <c r="O22" s="152" t="s">
        <v>33</v>
      </c>
      <c r="P22" s="149" t="s">
        <v>34</v>
      </c>
      <c r="Q22" s="150" t="s">
        <v>35</v>
      </c>
      <c r="R22" s="152" t="s">
        <v>36</v>
      </c>
      <c r="S22" s="149" t="s">
        <v>37</v>
      </c>
      <c r="T22" s="149" t="s">
        <v>38</v>
      </c>
      <c r="U22" s="149" t="s">
        <v>39</v>
      </c>
      <c r="V22" s="149" t="s">
        <v>40</v>
      </c>
      <c r="W22" s="149" t="s">
        <v>41</v>
      </c>
      <c r="X22" s="149" t="s">
        <v>42</v>
      </c>
      <c r="Y22" s="150" t="s">
        <v>43</v>
      </c>
      <c r="Z22" s="153" t="s">
        <v>44</v>
      </c>
      <c r="AA22" s="149" t="s">
        <v>45</v>
      </c>
      <c r="AB22" s="154" t="s">
        <v>46</v>
      </c>
      <c r="AC22" s="152" t="s">
        <v>47</v>
      </c>
      <c r="AD22" s="149" t="s">
        <v>48</v>
      </c>
      <c r="AE22" s="150" t="s">
        <v>49</v>
      </c>
      <c r="AF22" s="154" t="s">
        <v>20</v>
      </c>
      <c r="AG22" s="155" t="s">
        <v>25</v>
      </c>
      <c r="AH22" s="154" t="s">
        <v>26</v>
      </c>
      <c r="AI22" s="154" t="s">
        <v>27</v>
      </c>
      <c r="AJ22" s="154" t="s">
        <v>28</v>
      </c>
      <c r="AK22" s="154" t="s">
        <v>29</v>
      </c>
      <c r="AL22" s="154" t="s">
        <v>30</v>
      </c>
      <c r="AM22" s="156" t="s">
        <v>31</v>
      </c>
      <c r="AN22" s="154" t="s">
        <v>32</v>
      </c>
      <c r="AO22" s="155" t="s">
        <v>33</v>
      </c>
      <c r="AP22" s="154" t="s">
        <v>34</v>
      </c>
      <c r="AQ22" s="156" t="s">
        <v>35</v>
      </c>
      <c r="AR22" s="155" t="s">
        <v>36</v>
      </c>
      <c r="AS22" s="154" t="s">
        <v>37</v>
      </c>
      <c r="AT22" s="154" t="s">
        <v>38</v>
      </c>
      <c r="AU22" s="154" t="s">
        <v>39</v>
      </c>
      <c r="AV22" s="154" t="s">
        <v>40</v>
      </c>
      <c r="AW22" s="154" t="s">
        <v>41</v>
      </c>
      <c r="AX22" s="154" t="s">
        <v>42</v>
      </c>
      <c r="AY22" s="156" t="s">
        <v>43</v>
      </c>
      <c r="AZ22" s="155" t="s">
        <v>44</v>
      </c>
      <c r="BA22" s="156" t="s">
        <v>45</v>
      </c>
      <c r="BB22" s="156" t="s">
        <v>46</v>
      </c>
      <c r="BC22" s="10"/>
      <c r="BD22" s="32" t="s">
        <v>50</v>
      </c>
      <c r="BE22" s="33" t="s">
        <v>51</v>
      </c>
      <c r="BF22" s="34" t="str">
        <f>G22</f>
        <v>Bemesting
actueel</v>
      </c>
      <c r="BG22" s="34" t="str">
        <f t="shared" ref="BG22:BY22" si="16">H22</f>
        <v>Bemesting
historisch</v>
      </c>
      <c r="BH22" s="34" t="str">
        <f t="shared" si="16"/>
        <v>Depositie</v>
      </c>
      <c r="BI22" s="34" t="str">
        <f t="shared" si="16"/>
        <v>Infiltratie</v>
      </c>
      <c r="BJ22" s="34" t="str">
        <f t="shared" si="16"/>
        <v>Kwel</v>
      </c>
      <c r="BK22" s="34" t="str">
        <f t="shared" si="16"/>
        <v>Mineralisatie
en uitloging</v>
      </c>
      <c r="BL22" s="34" t="str">
        <f t="shared" si="16"/>
        <v>Natuur-
gronden</v>
      </c>
      <c r="BM22" s="34" t="str">
        <f t="shared" si="16"/>
        <v>Directe kwel</v>
      </c>
      <c r="BN22" s="34" t="str">
        <f t="shared" si="16"/>
        <v>Erfaf-
spoeling</v>
      </c>
      <c r="BO22" s="34" t="str">
        <f t="shared" si="16"/>
        <v>Glas-
tuinbouw</v>
      </c>
      <c r="BP22" s="34" t="str">
        <f t="shared" si="16"/>
        <v>Mee-
mesten</v>
      </c>
      <c r="BQ22" s="34" t="str">
        <f t="shared" si="16"/>
        <v>RWZI</v>
      </c>
      <c r="BR22" s="34" t="str">
        <f t="shared" si="16"/>
        <v>Industrie</v>
      </c>
      <c r="BS22" s="34" t="str">
        <f t="shared" si="16"/>
        <v>Depositie
open water</v>
      </c>
      <c r="BT22" s="34" t="str">
        <f t="shared" si="16"/>
        <v>Overstort</v>
      </c>
      <c r="BU22" s="34" t="str">
        <f t="shared" si="16"/>
        <v>Regen
waterriolen</v>
      </c>
      <c r="BV22" s="34" t="str">
        <f t="shared" si="16"/>
        <v>Water-
vogels</v>
      </c>
      <c r="BW22" s="34" t="str">
        <f t="shared" si="16"/>
        <v>Binnen-
vaart</v>
      </c>
      <c r="BX22" s="34" t="str">
        <f t="shared" si="16"/>
        <v>Overige</v>
      </c>
      <c r="BY22" s="34" t="str">
        <f t="shared" si="16"/>
        <v>Inlaat Rijkswater</v>
      </c>
      <c r="BZ22" s="35" t="s">
        <v>52</v>
      </c>
      <c r="CA22" s="359" t="s">
        <v>176</v>
      </c>
      <c r="CB22" s="360"/>
    </row>
    <row r="23" spans="1:80" x14ac:dyDescent="0.3">
      <c r="A23" s="57">
        <v>37101</v>
      </c>
      <c r="B23" s="189" t="s">
        <v>75</v>
      </c>
      <c r="C23" s="170">
        <f t="shared" ref="C23:C36" si="17">(SUMPRODUCT(G23:AA23,$G$37:$AA$37)+SUMPRODUCT(AG23:BA23,$AG$37:$BA$37))/AC23</f>
        <v>0.88567152843901698</v>
      </c>
      <c r="D23" s="171">
        <f>C23*F23</f>
        <v>0.12361334283765922</v>
      </c>
      <c r="E23" s="270">
        <v>0.15</v>
      </c>
      <c r="F23" s="60">
        <v>0.13957018925010034</v>
      </c>
      <c r="G23" s="61">
        <v>306.87955536331242</v>
      </c>
      <c r="H23" s="8">
        <v>43.924321073528532</v>
      </c>
      <c r="I23" s="8">
        <v>0</v>
      </c>
      <c r="J23" s="8">
        <v>0.95697319915700585</v>
      </c>
      <c r="K23" s="8">
        <v>446.95009088821939</v>
      </c>
      <c r="L23" s="8">
        <v>140.9254735936218</v>
      </c>
      <c r="M23" s="95">
        <v>1414.8565814061949</v>
      </c>
      <c r="N23" s="96">
        <v>3000.016765760508</v>
      </c>
      <c r="O23" s="71">
        <v>184.25960646257141</v>
      </c>
      <c r="P23" s="8">
        <v>0</v>
      </c>
      <c r="Q23" s="95">
        <v>46.871513428071431</v>
      </c>
      <c r="R23" s="71">
        <v>0</v>
      </c>
      <c r="S23" s="8">
        <v>0</v>
      </c>
      <c r="T23" s="8">
        <v>0</v>
      </c>
      <c r="U23" s="8">
        <v>3.1807627939928569</v>
      </c>
      <c r="V23" s="8">
        <v>74.67035860237857</v>
      </c>
      <c r="W23" s="8">
        <v>14.456277553010001</v>
      </c>
      <c r="X23" s="8">
        <v>0</v>
      </c>
      <c r="Y23" s="95">
        <v>38.577785114922861</v>
      </c>
      <c r="Z23" s="97">
        <v>0</v>
      </c>
      <c r="AA23" s="8"/>
      <c r="AB23" s="66">
        <f>SUM(AG23:BA23)</f>
        <v>0</v>
      </c>
      <c r="AC23" s="64">
        <f>SUM(G23:AB23)</f>
        <v>5716.5260652394891</v>
      </c>
      <c r="AD23" s="61">
        <v>1953.9211196256899</v>
      </c>
      <c r="AE23" s="62">
        <f>AC23-AD23</f>
        <v>3762.6049456137989</v>
      </c>
      <c r="AF23" s="172" t="s">
        <v>76</v>
      </c>
      <c r="AG23" s="68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6">
        <v>0</v>
      </c>
      <c r="AN23" s="69">
        <v>0</v>
      </c>
      <c r="AO23" s="68">
        <v>0</v>
      </c>
      <c r="AP23" s="69">
        <v>0</v>
      </c>
      <c r="AQ23" s="66">
        <v>0</v>
      </c>
      <c r="AR23" s="68">
        <v>0</v>
      </c>
      <c r="AS23" s="69">
        <v>0</v>
      </c>
      <c r="AT23" s="69">
        <v>0</v>
      </c>
      <c r="AU23" s="69">
        <v>0</v>
      </c>
      <c r="AV23" s="69">
        <v>0</v>
      </c>
      <c r="AW23" s="69">
        <v>0</v>
      </c>
      <c r="AX23" s="69">
        <v>0</v>
      </c>
      <c r="AY23" s="66">
        <v>0</v>
      </c>
      <c r="AZ23" s="68">
        <v>0</v>
      </c>
      <c r="BA23" s="66"/>
      <c r="BB23" s="102">
        <f>SUM(AG23:BA23)</f>
        <v>0</v>
      </c>
      <c r="BC23" s="10"/>
      <c r="BD23" s="71">
        <f t="shared" ref="BD23:BE36" si="18">A23</f>
        <v>37101</v>
      </c>
      <c r="BE23" s="8" t="str">
        <f t="shared" si="18"/>
        <v>Tochten ABC1</v>
      </c>
      <c r="BF23" s="7">
        <f>(G23+AG23)/$AC23</f>
        <v>5.368287520446318E-2</v>
      </c>
      <c r="BG23" s="7">
        <f t="shared" ref="BG23:BV36" si="19">(H23+AH23)/$AC23</f>
        <v>7.6837436884298295E-3</v>
      </c>
      <c r="BH23" s="7">
        <f t="shared" si="19"/>
        <v>0</v>
      </c>
      <c r="BI23" s="7">
        <f t="shared" si="19"/>
        <v>1.6740467693763839E-4</v>
      </c>
      <c r="BJ23" s="7">
        <f t="shared" si="19"/>
        <v>7.8185612343480981E-2</v>
      </c>
      <c r="BK23" s="7">
        <f t="shared" si="19"/>
        <v>2.4652292666091053E-2</v>
      </c>
      <c r="BL23" s="7">
        <f t="shared" si="19"/>
        <v>0.24750286542197733</v>
      </c>
      <c r="BM23" s="7">
        <f t="shared" si="19"/>
        <v>0.52479718128160491</v>
      </c>
      <c r="BN23" s="7">
        <f t="shared" si="19"/>
        <v>3.2232793896104103E-2</v>
      </c>
      <c r="BO23" s="7">
        <f t="shared" si="19"/>
        <v>0</v>
      </c>
      <c r="BP23" s="7">
        <f t="shared" si="19"/>
        <v>8.1993002206503171E-3</v>
      </c>
      <c r="BQ23" s="7">
        <f t="shared" si="19"/>
        <v>0</v>
      </c>
      <c r="BR23" s="7">
        <f t="shared" si="19"/>
        <v>0</v>
      </c>
      <c r="BS23" s="7">
        <f t="shared" si="19"/>
        <v>0</v>
      </c>
      <c r="BT23" s="7">
        <f t="shared" si="19"/>
        <v>5.5641533996217364E-4</v>
      </c>
      <c r="BU23" s="7">
        <f t="shared" si="19"/>
        <v>1.3062191574079758E-2</v>
      </c>
      <c r="BV23" s="7">
        <f t="shared" si="19"/>
        <v>2.5288571044772045E-3</v>
      </c>
      <c r="BW23" s="7">
        <f t="shared" ref="BW23:BY36" si="20">(X23+AX23)/$AC23</f>
        <v>0</v>
      </c>
      <c r="BX23" s="7">
        <f t="shared" si="20"/>
        <v>6.748466581741489E-3</v>
      </c>
      <c r="BY23" s="7">
        <f t="shared" si="20"/>
        <v>0</v>
      </c>
      <c r="BZ23" s="72">
        <f t="shared" si="11"/>
        <v>1</v>
      </c>
      <c r="CA23" s="261">
        <f>SUMPRODUCT(BF23:BY23,$BF$37:$BY$37)</f>
        <v>0.88567152843901698</v>
      </c>
      <c r="CB23" s="74">
        <f t="shared" ref="CB23:CB36" si="21">C23-CA23</f>
        <v>0</v>
      </c>
    </row>
    <row r="24" spans="1:80" x14ac:dyDescent="0.3">
      <c r="A24" s="91">
        <v>37102</v>
      </c>
      <c r="B24" s="206" t="s">
        <v>77</v>
      </c>
      <c r="C24" s="7">
        <f t="shared" si="17"/>
        <v>0.76507636790695799</v>
      </c>
      <c r="D24" s="178">
        <f t="shared" ref="D24:D36" si="22">C24*F24</f>
        <v>7.9649258586982061E-2</v>
      </c>
      <c r="E24" s="271">
        <v>0.15</v>
      </c>
      <c r="F24" s="94">
        <v>0.10410628523905514</v>
      </c>
      <c r="G24" s="8">
        <v>2929.9365953956699</v>
      </c>
      <c r="H24" s="8">
        <v>136.61422256369519</v>
      </c>
      <c r="I24" s="8">
        <v>0</v>
      </c>
      <c r="J24" s="8">
        <v>4.653686982058403</v>
      </c>
      <c r="K24" s="8">
        <v>2277.1734417808771</v>
      </c>
      <c r="L24" s="8">
        <v>1433.2680356437429</v>
      </c>
      <c r="M24" s="95">
        <v>342.3994998231567</v>
      </c>
      <c r="N24" s="96">
        <v>5461.0477033072284</v>
      </c>
      <c r="O24" s="71">
        <v>375.70663733957139</v>
      </c>
      <c r="P24" s="8">
        <v>0</v>
      </c>
      <c r="Q24" s="95">
        <v>101.98813489471431</v>
      </c>
      <c r="R24" s="71">
        <v>0</v>
      </c>
      <c r="S24" s="8">
        <v>0</v>
      </c>
      <c r="T24" s="8">
        <v>0</v>
      </c>
      <c r="U24" s="8">
        <v>7.1973812282342857</v>
      </c>
      <c r="V24" s="8">
        <v>143.78209937159289</v>
      </c>
      <c r="W24" s="8">
        <v>29.852936920680001</v>
      </c>
      <c r="X24" s="8">
        <v>0</v>
      </c>
      <c r="Y24" s="95">
        <v>77.675338115131424</v>
      </c>
      <c r="Z24" s="97">
        <v>0</v>
      </c>
      <c r="AA24" s="8"/>
      <c r="AB24" s="98">
        <f t="shared" ref="AB24:AB36" si="23">SUM(AG24:BA24)</f>
        <v>3762.6049456137998</v>
      </c>
      <c r="AC24" s="71">
        <f t="shared" ref="AC24:AC36" si="24">SUM(G24:AB24)</f>
        <v>17083.900658980154</v>
      </c>
      <c r="AD24" s="8">
        <v>5765.898653737564</v>
      </c>
      <c r="AE24" s="95">
        <f t="shared" ref="AE24:AE36" si="25">AC24-AD24</f>
        <v>11318.00200524259</v>
      </c>
      <c r="AF24" s="172" t="s">
        <v>78</v>
      </c>
      <c r="AG24" s="100">
        <v>153.43977768165621</v>
      </c>
      <c r="AH24" s="101">
        <v>21.962160536764269</v>
      </c>
      <c r="AI24" s="101">
        <v>0</v>
      </c>
      <c r="AJ24" s="101">
        <v>0.47848659957850292</v>
      </c>
      <c r="AK24" s="101">
        <v>223.4750454441097</v>
      </c>
      <c r="AL24" s="101">
        <v>70.462736796810916</v>
      </c>
      <c r="AM24" s="98">
        <v>707.42829070309779</v>
      </c>
      <c r="AN24" s="101">
        <v>2400.0134126084058</v>
      </c>
      <c r="AO24" s="100">
        <v>92.12980323128572</v>
      </c>
      <c r="AP24" s="101">
        <v>0</v>
      </c>
      <c r="AQ24" s="98">
        <v>23.435756714035719</v>
      </c>
      <c r="AR24" s="100">
        <v>0</v>
      </c>
      <c r="AS24" s="101">
        <v>0</v>
      </c>
      <c r="AT24" s="101">
        <v>0</v>
      </c>
      <c r="AU24" s="101">
        <v>1.5903813969964291</v>
      </c>
      <c r="AV24" s="101">
        <v>37.335179301189292</v>
      </c>
      <c r="AW24" s="101">
        <v>11.565022042408</v>
      </c>
      <c r="AX24" s="101">
        <v>0</v>
      </c>
      <c r="AY24" s="98">
        <v>19.28889255746143</v>
      </c>
      <c r="AZ24" s="100">
        <v>0</v>
      </c>
      <c r="BA24" s="98"/>
      <c r="BB24" s="102">
        <f t="shared" ref="BB24:BB36" si="26">SUM(AG24:BA24)</f>
        <v>3762.6049456137998</v>
      </c>
      <c r="BC24" s="10"/>
      <c r="BD24" s="71">
        <f t="shared" si="18"/>
        <v>37102</v>
      </c>
      <c r="BE24" s="8" t="str">
        <f t="shared" si="18"/>
        <v>Tochten ABC2</v>
      </c>
      <c r="BF24" s="7">
        <f t="shared" ref="BF24:BF36" si="27">(G24+AG24)/$AC24</f>
        <v>0.18048433051830873</v>
      </c>
      <c r="BG24" s="7">
        <f t="shared" si="19"/>
        <v>9.2822117305572001E-3</v>
      </c>
      <c r="BH24" s="7">
        <f t="shared" si="19"/>
        <v>0</v>
      </c>
      <c r="BI24" s="7">
        <f t="shared" si="19"/>
        <v>3.0040994056817919E-4</v>
      </c>
      <c r="BJ24" s="7">
        <f t="shared" si="19"/>
        <v>0.14637456264477403</v>
      </c>
      <c r="BK24" s="7">
        <f t="shared" si="19"/>
        <v>8.8020341633754329E-2</v>
      </c>
      <c r="BL24" s="7">
        <f t="shared" si="19"/>
        <v>6.1451293324771956E-2</v>
      </c>
      <c r="BM24" s="7">
        <f t="shared" si="19"/>
        <v>0.46014439400193224</v>
      </c>
      <c r="BN24" s="7">
        <f t="shared" si="19"/>
        <v>2.7384638315895313E-2</v>
      </c>
      <c r="BO24" s="7">
        <f t="shared" si="19"/>
        <v>0</v>
      </c>
      <c r="BP24" s="7">
        <f t="shared" si="19"/>
        <v>7.3416425272188031E-3</v>
      </c>
      <c r="BQ24" s="7">
        <f t="shared" si="19"/>
        <v>0</v>
      </c>
      <c r="BR24" s="7">
        <f t="shared" si="19"/>
        <v>0</v>
      </c>
      <c r="BS24" s="7">
        <f t="shared" si="19"/>
        <v>0</v>
      </c>
      <c r="BT24" s="7">
        <f t="shared" si="19"/>
        <v>5.1438853460034756E-4</v>
      </c>
      <c r="BU24" s="7">
        <f t="shared" si="19"/>
        <v>1.0601634971318911E-2</v>
      </c>
      <c r="BV24" s="7">
        <f t="shared" si="19"/>
        <v>2.4243853783659556E-3</v>
      </c>
      <c r="BW24" s="7">
        <f t="shared" si="20"/>
        <v>0</v>
      </c>
      <c r="BX24" s="7">
        <f t="shared" si="20"/>
        <v>5.6757664779339256E-3</v>
      </c>
      <c r="BY24" s="7">
        <f t="shared" si="20"/>
        <v>0</v>
      </c>
      <c r="BZ24" s="72">
        <f t="shared" si="11"/>
        <v>1</v>
      </c>
      <c r="CA24" s="261">
        <f t="shared" ref="CA24:CA32" si="28">SUMPRODUCT(BF24:BY24,$BF$37:$BY$37)</f>
        <v>0.7650763679069581</v>
      </c>
      <c r="CB24" s="74">
        <f t="shared" si="21"/>
        <v>0</v>
      </c>
    </row>
    <row r="25" spans="1:80" x14ac:dyDescent="0.3">
      <c r="A25" s="91">
        <v>37103</v>
      </c>
      <c r="B25" s="206" t="s">
        <v>79</v>
      </c>
      <c r="C25" s="7">
        <f t="shared" si="17"/>
        <v>0.7424838053198628</v>
      </c>
      <c r="D25" s="178">
        <f t="shared" si="22"/>
        <v>6.6978226604895955E-2</v>
      </c>
      <c r="E25" s="271">
        <v>0.3</v>
      </c>
      <c r="F25" s="94">
        <v>9.0208333333333335E-2</v>
      </c>
      <c r="G25" s="8">
        <v>488.97329139583582</v>
      </c>
      <c r="H25" s="8">
        <v>28.674680436615919</v>
      </c>
      <c r="I25" s="8">
        <v>0</v>
      </c>
      <c r="J25" s="8">
        <v>0.52898540561045626</v>
      </c>
      <c r="K25" s="8">
        <v>946.36756443609784</v>
      </c>
      <c r="L25" s="8">
        <v>158.87761347630899</v>
      </c>
      <c r="M25" s="95">
        <v>2410.4786913663488</v>
      </c>
      <c r="N25" s="96">
        <v>464.59687898516461</v>
      </c>
      <c r="O25" s="71">
        <v>104.28358152871429</v>
      </c>
      <c r="P25" s="8">
        <v>5.6482531481399993</v>
      </c>
      <c r="Q25" s="95">
        <v>36.095888347457141</v>
      </c>
      <c r="R25" s="71">
        <v>0</v>
      </c>
      <c r="S25" s="8">
        <v>0</v>
      </c>
      <c r="T25" s="8">
        <v>0</v>
      </c>
      <c r="U25" s="8">
        <v>0</v>
      </c>
      <c r="V25" s="8">
        <v>3481.6929252145719</v>
      </c>
      <c r="W25" s="8">
        <v>989.15211544210001</v>
      </c>
      <c r="X25" s="8">
        <v>10.517565374928569</v>
      </c>
      <c r="Y25" s="95">
        <v>358.61253277950431</v>
      </c>
      <c r="Z25" s="97">
        <v>57.881944700460579</v>
      </c>
      <c r="AA25" s="8"/>
      <c r="AB25" s="98">
        <f t="shared" si="23"/>
        <v>0</v>
      </c>
      <c r="AC25" s="71">
        <f t="shared" si="24"/>
        <v>9542.3825120378588</v>
      </c>
      <c r="AD25" s="8">
        <v>4314.5467046681333</v>
      </c>
      <c r="AE25" s="95">
        <f t="shared" si="25"/>
        <v>5227.8358073697254</v>
      </c>
      <c r="AF25" s="172" t="s">
        <v>80</v>
      </c>
      <c r="AG25" s="100">
        <v>0</v>
      </c>
      <c r="AH25" s="101">
        <v>0</v>
      </c>
      <c r="AI25" s="101">
        <v>0</v>
      </c>
      <c r="AJ25" s="101">
        <v>0</v>
      </c>
      <c r="AK25" s="101">
        <v>0</v>
      </c>
      <c r="AL25" s="101">
        <v>0</v>
      </c>
      <c r="AM25" s="98">
        <v>0</v>
      </c>
      <c r="AN25" s="101">
        <v>0</v>
      </c>
      <c r="AO25" s="100">
        <v>0</v>
      </c>
      <c r="AP25" s="101">
        <v>0</v>
      </c>
      <c r="AQ25" s="98">
        <v>0</v>
      </c>
      <c r="AR25" s="100">
        <v>0</v>
      </c>
      <c r="AS25" s="101">
        <v>0</v>
      </c>
      <c r="AT25" s="101">
        <v>0</v>
      </c>
      <c r="AU25" s="101">
        <v>0</v>
      </c>
      <c r="AV25" s="101">
        <v>0</v>
      </c>
      <c r="AW25" s="101">
        <v>0</v>
      </c>
      <c r="AX25" s="101">
        <v>0</v>
      </c>
      <c r="AY25" s="98">
        <v>0</v>
      </c>
      <c r="AZ25" s="100">
        <v>0</v>
      </c>
      <c r="BA25" s="98"/>
      <c r="BB25" s="102">
        <f t="shared" si="26"/>
        <v>0</v>
      </c>
      <c r="BC25" s="10"/>
      <c r="BD25" s="71">
        <f t="shared" si="18"/>
        <v>37103</v>
      </c>
      <c r="BE25" s="8" t="str">
        <f t="shared" si="18"/>
        <v>Tochten DE Almere</v>
      </c>
      <c r="BF25" s="7">
        <f t="shared" si="27"/>
        <v>5.1242264788588038E-2</v>
      </c>
      <c r="BG25" s="7">
        <f t="shared" si="19"/>
        <v>3.0049812403183775E-3</v>
      </c>
      <c r="BH25" s="7">
        <f t="shared" si="19"/>
        <v>0</v>
      </c>
      <c r="BI25" s="7">
        <f t="shared" si="19"/>
        <v>5.5435359559641759E-5</v>
      </c>
      <c r="BJ25" s="7">
        <f t="shared" si="19"/>
        <v>9.9175186410966121E-2</v>
      </c>
      <c r="BK25" s="7">
        <f t="shared" si="19"/>
        <v>1.6649679812759811E-2</v>
      </c>
      <c r="BL25" s="7">
        <f t="shared" si="19"/>
        <v>0.2526076363345835</v>
      </c>
      <c r="BM25" s="7">
        <f t="shared" si="19"/>
        <v>4.8687723259790587E-2</v>
      </c>
      <c r="BN25" s="7">
        <f t="shared" si="19"/>
        <v>1.0928463766481693E-2</v>
      </c>
      <c r="BO25" s="7">
        <f t="shared" si="19"/>
        <v>5.9191225472408416E-4</v>
      </c>
      <c r="BP25" s="7">
        <f t="shared" si="19"/>
        <v>3.7826914087673216E-3</v>
      </c>
      <c r="BQ25" s="7">
        <f t="shared" si="19"/>
        <v>0</v>
      </c>
      <c r="BR25" s="7">
        <f t="shared" si="19"/>
        <v>0</v>
      </c>
      <c r="BS25" s="7">
        <f t="shared" si="19"/>
        <v>0</v>
      </c>
      <c r="BT25" s="7">
        <f t="shared" si="19"/>
        <v>0</v>
      </c>
      <c r="BU25" s="7">
        <f t="shared" si="19"/>
        <v>0.36486620828942501</v>
      </c>
      <c r="BV25" s="7">
        <f t="shared" si="19"/>
        <v>0.10365882044597036</v>
      </c>
      <c r="BW25" s="7">
        <f t="shared" si="20"/>
        <v>1.1021949038052606E-3</v>
      </c>
      <c r="BX25" s="7">
        <f t="shared" si="20"/>
        <v>3.7581026785198479E-2</v>
      </c>
      <c r="BY25" s="7">
        <f t="shared" si="20"/>
        <v>6.065774939061774E-3</v>
      </c>
      <c r="BZ25" s="72">
        <f t="shared" si="11"/>
        <v>1</v>
      </c>
      <c r="CA25" s="261">
        <f t="shared" si="28"/>
        <v>0.74248380531986291</v>
      </c>
      <c r="CB25" s="74">
        <f t="shared" si="21"/>
        <v>0</v>
      </c>
    </row>
    <row r="26" spans="1:80" x14ac:dyDescent="0.3">
      <c r="A26" s="91">
        <v>37104</v>
      </c>
      <c r="B26" s="206" t="s">
        <v>81</v>
      </c>
      <c r="C26" s="7">
        <f t="shared" si="17"/>
        <v>0.63468640471895599</v>
      </c>
      <c r="D26" s="178">
        <f t="shared" si="22"/>
        <v>0.16797277932508467</v>
      </c>
      <c r="E26" s="271">
        <v>0.22</v>
      </c>
      <c r="F26" s="94">
        <v>0.26465476190476195</v>
      </c>
      <c r="G26" s="8">
        <v>1604.3456651515751</v>
      </c>
      <c r="H26" s="8">
        <v>73.938450935324511</v>
      </c>
      <c r="I26" s="8">
        <v>0</v>
      </c>
      <c r="J26" s="8">
        <v>2.6914314566395219</v>
      </c>
      <c r="K26" s="8">
        <v>588.59619624049856</v>
      </c>
      <c r="L26" s="8">
        <v>1003.63624855834</v>
      </c>
      <c r="M26" s="95">
        <v>706.05973760704137</v>
      </c>
      <c r="N26" s="96">
        <v>1665.286890703135</v>
      </c>
      <c r="O26" s="71">
        <v>444.57737388557138</v>
      </c>
      <c r="P26" s="8">
        <v>4.0675682684314287</v>
      </c>
      <c r="Q26" s="95">
        <v>67.23965709540002</v>
      </c>
      <c r="R26" s="71">
        <v>0</v>
      </c>
      <c r="S26" s="8">
        <v>0</v>
      </c>
      <c r="T26" s="8">
        <v>0</v>
      </c>
      <c r="U26" s="8">
        <v>0</v>
      </c>
      <c r="V26" s="8">
        <v>1262.626607471143</v>
      </c>
      <c r="W26" s="8">
        <v>31.4507120679</v>
      </c>
      <c r="X26" s="8">
        <v>10.90796516807143</v>
      </c>
      <c r="Y26" s="95">
        <v>26.932580338924289</v>
      </c>
      <c r="Z26" s="97">
        <v>0</v>
      </c>
      <c r="AA26" s="8"/>
      <c r="AB26" s="98">
        <f t="shared" si="23"/>
        <v>0</v>
      </c>
      <c r="AC26" s="71">
        <f t="shared" si="24"/>
        <v>7492.3570849479956</v>
      </c>
      <c r="AD26" s="8">
        <v>3233.8848720922661</v>
      </c>
      <c r="AE26" s="95">
        <f t="shared" si="25"/>
        <v>4258.4722128557296</v>
      </c>
      <c r="AF26" s="172" t="s">
        <v>82</v>
      </c>
      <c r="AG26" s="100">
        <v>0</v>
      </c>
      <c r="AH26" s="101">
        <v>0</v>
      </c>
      <c r="AI26" s="101">
        <v>0</v>
      </c>
      <c r="AJ26" s="101">
        <v>0</v>
      </c>
      <c r="AK26" s="101">
        <v>0</v>
      </c>
      <c r="AL26" s="101">
        <v>0</v>
      </c>
      <c r="AM26" s="98">
        <v>0</v>
      </c>
      <c r="AN26" s="101">
        <v>0</v>
      </c>
      <c r="AO26" s="100">
        <v>0</v>
      </c>
      <c r="AP26" s="101">
        <v>0</v>
      </c>
      <c r="AQ26" s="98">
        <v>0</v>
      </c>
      <c r="AR26" s="100">
        <v>0</v>
      </c>
      <c r="AS26" s="101">
        <v>0</v>
      </c>
      <c r="AT26" s="101">
        <v>0</v>
      </c>
      <c r="AU26" s="101">
        <v>0</v>
      </c>
      <c r="AV26" s="101">
        <v>0</v>
      </c>
      <c r="AW26" s="101">
        <v>0</v>
      </c>
      <c r="AX26" s="101">
        <v>0</v>
      </c>
      <c r="AY26" s="98">
        <v>0</v>
      </c>
      <c r="AZ26" s="100">
        <v>0</v>
      </c>
      <c r="BA26" s="98"/>
      <c r="BB26" s="102">
        <f t="shared" si="26"/>
        <v>0</v>
      </c>
      <c r="BC26" s="10"/>
      <c r="BD26" s="71">
        <f t="shared" si="18"/>
        <v>37104</v>
      </c>
      <c r="BE26" s="8" t="str">
        <f t="shared" si="18"/>
        <v>Tochten DE Zuidlob</v>
      </c>
      <c r="BF26" s="7">
        <f t="shared" si="27"/>
        <v>0.2141309666586334</v>
      </c>
      <c r="BG26" s="7">
        <f t="shared" si="19"/>
        <v>9.8685166893427261E-3</v>
      </c>
      <c r="BH26" s="7">
        <f t="shared" si="19"/>
        <v>0</v>
      </c>
      <c r="BI26" s="7">
        <f t="shared" si="19"/>
        <v>3.5922359627607136E-4</v>
      </c>
      <c r="BJ26" s="7">
        <f t="shared" si="19"/>
        <v>7.8559549360371142E-2</v>
      </c>
      <c r="BK26" s="7">
        <f t="shared" si="19"/>
        <v>0.13395467370003311</v>
      </c>
      <c r="BL26" s="7">
        <f t="shared" si="19"/>
        <v>9.4237331403424704E-2</v>
      </c>
      <c r="BM26" s="7">
        <f t="shared" si="19"/>
        <v>0.22226475217640987</v>
      </c>
      <c r="BN26" s="7">
        <f t="shared" si="19"/>
        <v>5.9337451331399962E-2</v>
      </c>
      <c r="BO26" s="7">
        <f t="shared" si="19"/>
        <v>5.4289567652923232E-4</v>
      </c>
      <c r="BP26" s="7">
        <f t="shared" si="19"/>
        <v>8.9744330566522545E-3</v>
      </c>
      <c r="BQ26" s="7">
        <f t="shared" si="19"/>
        <v>0</v>
      </c>
      <c r="BR26" s="7">
        <f t="shared" si="19"/>
        <v>0</v>
      </c>
      <c r="BS26" s="7">
        <f t="shared" si="19"/>
        <v>0</v>
      </c>
      <c r="BT26" s="7">
        <f t="shared" si="19"/>
        <v>0</v>
      </c>
      <c r="BU26" s="7">
        <f t="shared" si="19"/>
        <v>0.16852194752005828</v>
      </c>
      <c r="BV26" s="7">
        <f t="shared" si="19"/>
        <v>4.1977059704060137E-3</v>
      </c>
      <c r="BW26" s="7">
        <f t="shared" si="20"/>
        <v>1.4558789769891409E-3</v>
      </c>
      <c r="BX26" s="7">
        <f t="shared" si="20"/>
        <v>3.5946738834740453E-3</v>
      </c>
      <c r="BY26" s="7">
        <f t="shared" si="20"/>
        <v>0</v>
      </c>
      <c r="BZ26" s="72">
        <f t="shared" si="11"/>
        <v>0.99999999999999989</v>
      </c>
      <c r="CA26" s="261">
        <f t="shared" si="28"/>
        <v>0.63468640471895599</v>
      </c>
      <c r="CB26" s="74">
        <f t="shared" si="21"/>
        <v>0</v>
      </c>
    </row>
    <row r="27" spans="1:80" x14ac:dyDescent="0.3">
      <c r="A27" s="91">
        <v>37105</v>
      </c>
      <c r="B27" s="206" t="s">
        <v>83</v>
      </c>
      <c r="C27" s="7">
        <f t="shared" si="17"/>
        <v>0.59050434395375639</v>
      </c>
      <c r="D27" s="178">
        <f t="shared" si="22"/>
        <v>8.2520248251130274E-2</v>
      </c>
      <c r="E27" s="271">
        <v>0.22</v>
      </c>
      <c r="F27" s="94">
        <v>0.13974537037037038</v>
      </c>
      <c r="G27" s="8">
        <v>6463.2964311306687</v>
      </c>
      <c r="H27" s="8">
        <v>79.55468260691309</v>
      </c>
      <c r="I27" s="8">
        <v>0</v>
      </c>
      <c r="J27" s="8">
        <v>6.289870034806583</v>
      </c>
      <c r="K27" s="8">
        <v>1433.2253921776801</v>
      </c>
      <c r="L27" s="8">
        <v>2814.7479172012449</v>
      </c>
      <c r="M27" s="95">
        <v>680.21483243886564</v>
      </c>
      <c r="N27" s="96">
        <v>5176.8559554592703</v>
      </c>
      <c r="O27" s="71">
        <v>446.40595801314288</v>
      </c>
      <c r="P27" s="8">
        <v>0</v>
      </c>
      <c r="Q27" s="95">
        <v>162.8116207527143</v>
      </c>
      <c r="R27" s="71">
        <v>0</v>
      </c>
      <c r="S27" s="8">
        <v>0</v>
      </c>
      <c r="T27" s="8">
        <v>0</v>
      </c>
      <c r="U27" s="8">
        <v>0</v>
      </c>
      <c r="V27" s="8">
        <v>1538.1049260538509</v>
      </c>
      <c r="W27" s="8">
        <v>299.39810926460001</v>
      </c>
      <c r="X27" s="8">
        <v>0</v>
      </c>
      <c r="Y27" s="95">
        <v>140.56315195418861</v>
      </c>
      <c r="Z27" s="97">
        <v>17.420019169225711</v>
      </c>
      <c r="AA27" s="8"/>
      <c r="AB27" s="98">
        <f t="shared" si="23"/>
        <v>219.26899268726859</v>
      </c>
      <c r="AC27" s="71">
        <f t="shared" si="24"/>
        <v>19478.15785894444</v>
      </c>
      <c r="AD27" s="8">
        <v>8025.1960064981104</v>
      </c>
      <c r="AE27" s="95">
        <f t="shared" si="25"/>
        <v>11452.961852446329</v>
      </c>
      <c r="AF27" s="172" t="s">
        <v>84</v>
      </c>
      <c r="AG27" s="100">
        <v>23.374324035134631</v>
      </c>
      <c r="AH27" s="101">
        <v>0.79922377903419473</v>
      </c>
      <c r="AI27" s="101">
        <v>0</v>
      </c>
      <c r="AJ27" s="101">
        <v>2.7878511641925448E-2</v>
      </c>
      <c r="AK27" s="101">
        <v>14.97778741133069</v>
      </c>
      <c r="AL27" s="101">
        <v>11.420684380754761</v>
      </c>
      <c r="AM27" s="98">
        <v>11.94725121240096</v>
      </c>
      <c r="AN27" s="101">
        <v>94.05736022511438</v>
      </c>
      <c r="AO27" s="100">
        <v>5.0105872574178854</v>
      </c>
      <c r="AP27" s="101">
        <v>3.8498417815796507E-2</v>
      </c>
      <c r="AQ27" s="98">
        <v>1.289941852231052</v>
      </c>
      <c r="AR27" s="100">
        <v>5.0298596758045422</v>
      </c>
      <c r="AS27" s="101">
        <v>0</v>
      </c>
      <c r="AT27" s="101">
        <v>0</v>
      </c>
      <c r="AU27" s="101">
        <v>9.7853432771054669E-2</v>
      </c>
      <c r="AV27" s="101">
        <v>19.303805863900958</v>
      </c>
      <c r="AW27" s="101">
        <v>6.4710957637568614</v>
      </c>
      <c r="AX27" s="101">
        <v>1.150163382727575</v>
      </c>
      <c r="AY27" s="98">
        <v>2.0094640067226539</v>
      </c>
      <c r="AZ27" s="100">
        <v>22.2632134787087</v>
      </c>
      <c r="BA27" s="98"/>
      <c r="BB27" s="102">
        <f t="shared" si="26"/>
        <v>219.26899268726859</v>
      </c>
      <c r="BC27" s="10"/>
      <c r="BD27" s="71">
        <f t="shared" si="18"/>
        <v>37105</v>
      </c>
      <c r="BE27" s="8" t="str">
        <f t="shared" si="18"/>
        <v>Tochten FGIK</v>
      </c>
      <c r="BF27" s="7">
        <f t="shared" si="27"/>
        <v>0.33302280442229298</v>
      </c>
      <c r="BG27" s="7">
        <f t="shared" si="19"/>
        <v>4.1253339750015675E-3</v>
      </c>
      <c r="BH27" s="7">
        <f t="shared" si="19"/>
        <v>0</v>
      </c>
      <c r="BI27" s="7">
        <f t="shared" si="19"/>
        <v>3.2435041302159771E-4</v>
      </c>
      <c r="BJ27" s="7">
        <f t="shared" si="19"/>
        <v>7.4350110009196307E-2</v>
      </c>
      <c r="BK27" s="7">
        <f t="shared" si="19"/>
        <v>0.14509424464306889</v>
      </c>
      <c r="BL27" s="7">
        <f t="shared" si="19"/>
        <v>3.5535294901279553E-2</v>
      </c>
      <c r="BM27" s="7">
        <f t="shared" si="19"/>
        <v>0.27060635578861797</v>
      </c>
      <c r="BN27" s="7">
        <f t="shared" si="19"/>
        <v>2.3175525557375475E-2</v>
      </c>
      <c r="BO27" s="7">
        <f t="shared" si="19"/>
        <v>1.9764917244531877E-6</v>
      </c>
      <c r="BP27" s="7">
        <f t="shared" si="19"/>
        <v>8.4249015637579572E-3</v>
      </c>
      <c r="BQ27" s="7">
        <f t="shared" si="19"/>
        <v>2.5823076865016844E-4</v>
      </c>
      <c r="BR27" s="7">
        <f t="shared" si="19"/>
        <v>0</v>
      </c>
      <c r="BS27" s="7">
        <f t="shared" si="19"/>
        <v>0</v>
      </c>
      <c r="BT27" s="7">
        <f t="shared" si="19"/>
        <v>5.0237519112270682E-6</v>
      </c>
      <c r="BU27" s="7">
        <f t="shared" si="19"/>
        <v>7.9956674712058792E-2</v>
      </c>
      <c r="BV27" s="7">
        <f t="shared" si="19"/>
        <v>1.570318955433974E-2</v>
      </c>
      <c r="BW27" s="7">
        <f t="shared" si="20"/>
        <v>5.9048878803465282E-5</v>
      </c>
      <c r="BX27" s="7">
        <f t="shared" si="20"/>
        <v>7.3196149755733403E-3</v>
      </c>
      <c r="BY27" s="7">
        <f t="shared" si="20"/>
        <v>2.0373195933265182E-3</v>
      </c>
      <c r="BZ27" s="72">
        <f t="shared" si="11"/>
        <v>0.99999999999999989</v>
      </c>
      <c r="CA27" s="261">
        <f t="shared" si="28"/>
        <v>0.59050434395375617</v>
      </c>
      <c r="CB27" s="74">
        <f t="shared" si="21"/>
        <v>0</v>
      </c>
    </row>
    <row r="28" spans="1:80" x14ac:dyDescent="0.3">
      <c r="A28" s="91">
        <v>37106</v>
      </c>
      <c r="B28" s="206" t="s">
        <v>85</v>
      </c>
      <c r="C28" s="7">
        <f t="shared" si="17"/>
        <v>0.4753316207664719</v>
      </c>
      <c r="D28" s="178">
        <f t="shared" si="22"/>
        <v>6.2635629709994631E-2</v>
      </c>
      <c r="E28" s="271">
        <v>0.22</v>
      </c>
      <c r="F28" s="94">
        <v>0.13177248677248679</v>
      </c>
      <c r="G28" s="8">
        <v>2015.060806316204</v>
      </c>
      <c r="H28" s="8">
        <v>48.482491393475762</v>
      </c>
      <c r="I28" s="8">
        <v>0</v>
      </c>
      <c r="J28" s="8">
        <v>0.90800938273382747</v>
      </c>
      <c r="K28" s="8">
        <v>331.64412366213668</v>
      </c>
      <c r="L28" s="8">
        <v>1341.803594403259</v>
      </c>
      <c r="M28" s="95">
        <v>279.26017140341042</v>
      </c>
      <c r="N28" s="96">
        <v>175.6229016879885</v>
      </c>
      <c r="O28" s="71">
        <v>285.40769681542861</v>
      </c>
      <c r="P28" s="8">
        <v>0</v>
      </c>
      <c r="Q28" s="95">
        <v>95.845600938285713</v>
      </c>
      <c r="R28" s="71">
        <v>0</v>
      </c>
      <c r="S28" s="8">
        <v>0</v>
      </c>
      <c r="T28" s="8">
        <v>0</v>
      </c>
      <c r="U28" s="8">
        <v>0</v>
      </c>
      <c r="V28" s="8">
        <v>50.667260750005717</v>
      </c>
      <c r="W28" s="8">
        <v>38.758444301200001</v>
      </c>
      <c r="X28" s="8">
        <v>0</v>
      </c>
      <c r="Y28" s="95">
        <v>18.676752276965718</v>
      </c>
      <c r="Z28" s="97">
        <v>0</v>
      </c>
      <c r="AA28" s="8"/>
      <c r="AB28" s="98">
        <f t="shared" si="23"/>
        <v>105.88377590284352</v>
      </c>
      <c r="AC28" s="71">
        <f t="shared" si="24"/>
        <v>4788.0216292339383</v>
      </c>
      <c r="AD28" s="8">
        <v>2297.9312780493592</v>
      </c>
      <c r="AE28" s="95">
        <f t="shared" si="25"/>
        <v>2490.090351184579</v>
      </c>
      <c r="AF28" s="172" t="s">
        <v>86</v>
      </c>
      <c r="AG28" s="100">
        <v>11.328788048783601</v>
      </c>
      <c r="AH28" s="101">
        <v>0.38791096075830428</v>
      </c>
      <c r="AI28" s="101">
        <v>0</v>
      </c>
      <c r="AJ28" s="101">
        <v>1.3522070095945089E-2</v>
      </c>
      <c r="AK28" s="101">
        <v>7.2502482145042908</v>
      </c>
      <c r="AL28" s="101">
        <v>5.5357958971444692</v>
      </c>
      <c r="AM28" s="98">
        <v>5.7994225265998773</v>
      </c>
      <c r="AN28" s="101">
        <v>45.376433514152907</v>
      </c>
      <c r="AO28" s="100">
        <v>2.4172757879757731</v>
      </c>
      <c r="AP28" s="101">
        <v>1.8572931371213661E-2</v>
      </c>
      <c r="AQ28" s="98">
        <v>0.62231132741546602</v>
      </c>
      <c r="AR28" s="100">
        <v>2.426184780893978</v>
      </c>
      <c r="AS28" s="101">
        <v>0</v>
      </c>
      <c r="AT28" s="101">
        <v>0</v>
      </c>
      <c r="AU28" s="101">
        <v>4.7207786563861071E-2</v>
      </c>
      <c r="AV28" s="101">
        <v>9.3128050931577349</v>
      </c>
      <c r="AW28" s="101">
        <v>3.1218742051132531</v>
      </c>
      <c r="AX28" s="101">
        <v>0.55487749328537528</v>
      </c>
      <c r="AY28" s="98">
        <v>0.9694330106851875</v>
      </c>
      <c r="AZ28" s="100">
        <v>10.70111225434229</v>
      </c>
      <c r="BA28" s="98"/>
      <c r="BB28" s="102">
        <f t="shared" si="26"/>
        <v>105.88377590284352</v>
      </c>
      <c r="BC28" s="10"/>
      <c r="BD28" s="71">
        <f t="shared" si="18"/>
        <v>37106</v>
      </c>
      <c r="BE28" s="8" t="str">
        <f t="shared" si="18"/>
        <v>Tochten FGIK ZUID</v>
      </c>
      <c r="BF28" s="7">
        <f t="shared" si="27"/>
        <v>0.42322064336396925</v>
      </c>
      <c r="BG28" s="7">
        <f t="shared" si="19"/>
        <v>1.020680484312121E-2</v>
      </c>
      <c r="BH28" s="7">
        <f t="shared" si="19"/>
        <v>0</v>
      </c>
      <c r="BI28" s="7">
        <f t="shared" si="19"/>
        <v>1.9246601711304579E-4</v>
      </c>
      <c r="BJ28" s="7">
        <f t="shared" si="19"/>
        <v>7.0779624262236787E-2</v>
      </c>
      <c r="BK28" s="7">
        <f t="shared" si="19"/>
        <v>0.28139793314091016</v>
      </c>
      <c r="BL28" s="7">
        <f t="shared" si="19"/>
        <v>5.9535987095283557E-2</v>
      </c>
      <c r="BM28" s="7">
        <f t="shared" si="19"/>
        <v>4.6156711960697705E-2</v>
      </c>
      <c r="BN28" s="7">
        <f t="shared" si="19"/>
        <v>6.0113548954342351E-2</v>
      </c>
      <c r="BO28" s="7">
        <f t="shared" si="19"/>
        <v>3.8790408250902673E-6</v>
      </c>
      <c r="BP28" s="7">
        <f t="shared" si="19"/>
        <v>2.0147760335229647E-2</v>
      </c>
      <c r="BQ28" s="7">
        <f t="shared" si="19"/>
        <v>5.0671967855795937E-4</v>
      </c>
      <c r="BR28" s="7">
        <f t="shared" si="19"/>
        <v>0</v>
      </c>
      <c r="BS28" s="7">
        <f t="shared" si="19"/>
        <v>0</v>
      </c>
      <c r="BT28" s="7">
        <f t="shared" si="19"/>
        <v>9.859560006084204E-6</v>
      </c>
      <c r="BU28" s="7">
        <f t="shared" si="19"/>
        <v>1.2527108373309498E-2</v>
      </c>
      <c r="BV28" s="7">
        <f t="shared" si="19"/>
        <v>8.7468941766275839E-3</v>
      </c>
      <c r="BW28" s="7">
        <f t="shared" si="20"/>
        <v>1.1588867725607019E-4</v>
      </c>
      <c r="BX28" s="7">
        <f t="shared" si="20"/>
        <v>4.1031947658085677E-3</v>
      </c>
      <c r="BY28" s="7">
        <f t="shared" si="20"/>
        <v>2.2349757547052724E-3</v>
      </c>
      <c r="BZ28" s="72">
        <f t="shared" si="11"/>
        <v>0.99999999999999989</v>
      </c>
      <c r="CA28" s="261">
        <f t="shared" si="28"/>
        <v>0.47533162076647201</v>
      </c>
      <c r="CB28" s="74">
        <f t="shared" si="21"/>
        <v>0</v>
      </c>
    </row>
    <row r="29" spans="1:80" x14ac:dyDescent="0.3">
      <c r="A29" s="91">
        <v>37107</v>
      </c>
      <c r="B29" s="206" t="s">
        <v>87</v>
      </c>
      <c r="C29" s="7">
        <f t="shared" si="17"/>
        <v>0.57143185451424672</v>
      </c>
      <c r="D29" s="178">
        <f t="shared" si="22"/>
        <v>4.0229822971828873E-2</v>
      </c>
      <c r="E29" s="271">
        <v>0.22</v>
      </c>
      <c r="F29" s="94">
        <v>7.0401785714285695E-2</v>
      </c>
      <c r="G29" s="8">
        <v>4037.0840839269931</v>
      </c>
      <c r="H29" s="8">
        <v>24.452588626881319</v>
      </c>
      <c r="I29" s="8">
        <v>0</v>
      </c>
      <c r="J29" s="8">
        <v>2.9349032631737182</v>
      </c>
      <c r="K29" s="8">
        <v>189.35923552389559</v>
      </c>
      <c r="L29" s="8">
        <v>1939.6560664702549</v>
      </c>
      <c r="M29" s="95">
        <v>34.656863425221061</v>
      </c>
      <c r="N29" s="96">
        <v>2882.0256092793702</v>
      </c>
      <c r="O29" s="71">
        <v>142.7031055431429</v>
      </c>
      <c r="P29" s="8">
        <v>6.3826787625342858</v>
      </c>
      <c r="Q29" s="95">
        <v>108.27907684285719</v>
      </c>
      <c r="R29" s="71">
        <v>0</v>
      </c>
      <c r="S29" s="8">
        <v>0</v>
      </c>
      <c r="T29" s="8">
        <v>0</v>
      </c>
      <c r="U29" s="8">
        <v>7.0611585267599999</v>
      </c>
      <c r="V29" s="8">
        <v>42.395159017157141</v>
      </c>
      <c r="W29" s="8">
        <v>0</v>
      </c>
      <c r="X29" s="8">
        <v>0</v>
      </c>
      <c r="Y29" s="95">
        <v>94.522887514157148</v>
      </c>
      <c r="Z29" s="97">
        <v>0</v>
      </c>
      <c r="AA29" s="8"/>
      <c r="AB29" s="98">
        <f t="shared" si="23"/>
        <v>2265.4982111219292</v>
      </c>
      <c r="AC29" s="71">
        <f t="shared" si="24"/>
        <v>11777.011627844326</v>
      </c>
      <c r="AD29" s="8">
        <v>4344.248667801774</v>
      </c>
      <c r="AE29" s="95">
        <f t="shared" si="25"/>
        <v>7432.7629600425516</v>
      </c>
      <c r="AF29" s="172" t="s">
        <v>88</v>
      </c>
      <c r="AG29" s="100">
        <v>261.63554196061352</v>
      </c>
      <c r="AH29" s="101">
        <v>9.2143383430911339</v>
      </c>
      <c r="AI29" s="101">
        <v>0</v>
      </c>
      <c r="AJ29" s="101">
        <v>0.3170276016986312</v>
      </c>
      <c r="AK29" s="101">
        <v>163.27713990042031</v>
      </c>
      <c r="AL29" s="101">
        <v>128.1045421913646</v>
      </c>
      <c r="AM29" s="98">
        <v>138.08546944627261</v>
      </c>
      <c r="AN29" s="101">
        <v>950.75916292196382</v>
      </c>
      <c r="AO29" s="100">
        <v>50.648473816492263</v>
      </c>
      <c r="AP29" s="101">
        <v>0.38915320830568417</v>
      </c>
      <c r="AQ29" s="98">
        <v>13.03910754788261</v>
      </c>
      <c r="AR29" s="100">
        <v>50.654553633982388</v>
      </c>
      <c r="AS29" s="101">
        <v>0</v>
      </c>
      <c r="AT29" s="101">
        <v>0</v>
      </c>
      <c r="AU29" s="101">
        <v>0.98913096867465788</v>
      </c>
      <c r="AV29" s="101">
        <v>195.12848606897259</v>
      </c>
      <c r="AW29" s="101">
        <v>65.41171873006239</v>
      </c>
      <c r="AX29" s="101">
        <v>11.626186109926349</v>
      </c>
      <c r="AY29" s="98">
        <v>20.312246828752869</v>
      </c>
      <c r="AZ29" s="100">
        <v>205.90593184345309</v>
      </c>
      <c r="BA29" s="98"/>
      <c r="BB29" s="102">
        <f t="shared" si="26"/>
        <v>2265.4982111219292</v>
      </c>
      <c r="BC29" s="10"/>
      <c r="BD29" s="71">
        <f t="shared" si="18"/>
        <v>37107</v>
      </c>
      <c r="BE29" s="8" t="str">
        <f t="shared" si="18"/>
        <v>Tochten H</v>
      </c>
      <c r="BF29" s="7">
        <f t="shared" si="27"/>
        <v>0.3650093726429009</v>
      </c>
      <c r="BG29" s="7">
        <f t="shared" si="19"/>
        <v>2.8586986269397846E-3</v>
      </c>
      <c r="BH29" s="7">
        <f t="shared" si="19"/>
        <v>0</v>
      </c>
      <c r="BI29" s="7">
        <f t="shared" si="19"/>
        <v>2.7612529966293206E-4</v>
      </c>
      <c r="BJ29" s="7">
        <f t="shared" si="19"/>
        <v>2.9942772119760808E-2</v>
      </c>
      <c r="BK29" s="7">
        <f t="shared" si="19"/>
        <v>0.17557600128141373</v>
      </c>
      <c r="BL29" s="7">
        <f t="shared" si="19"/>
        <v>1.4667755991942802E-2</v>
      </c>
      <c r="BM29" s="7">
        <f t="shared" si="19"/>
        <v>0.32544629260104502</v>
      </c>
      <c r="BN29" s="7">
        <f t="shared" si="19"/>
        <v>1.6417711510320246E-2</v>
      </c>
      <c r="BO29" s="7">
        <f t="shared" si="19"/>
        <v>5.7500426974440308E-4</v>
      </c>
      <c r="BP29" s="7">
        <f t="shared" si="19"/>
        <v>1.0301270663935481E-2</v>
      </c>
      <c r="BQ29" s="7">
        <f t="shared" si="19"/>
        <v>4.3011381184527402E-3</v>
      </c>
      <c r="BR29" s="7">
        <f t="shared" si="19"/>
        <v>0</v>
      </c>
      <c r="BS29" s="7">
        <f t="shared" si="19"/>
        <v>0</v>
      </c>
      <c r="BT29" s="7">
        <f t="shared" si="19"/>
        <v>6.8355961171010491E-4</v>
      </c>
      <c r="BU29" s="7">
        <f t="shared" si="19"/>
        <v>2.0168413905999195E-2</v>
      </c>
      <c r="BV29" s="7">
        <f t="shared" si="19"/>
        <v>5.5541864776128616E-3</v>
      </c>
      <c r="BW29" s="7">
        <f t="shared" si="20"/>
        <v>9.8719322671284612E-4</v>
      </c>
      <c r="BX29" s="7">
        <f t="shared" si="20"/>
        <v>9.750787209159742E-3</v>
      </c>
      <c r="BY29" s="7">
        <f t="shared" si="20"/>
        <v>1.7483716442686599E-2</v>
      </c>
      <c r="BZ29" s="72">
        <f t="shared" si="11"/>
        <v>1.0000000000000002</v>
      </c>
      <c r="CA29" s="261">
        <f t="shared" si="28"/>
        <v>0.57143185451424661</v>
      </c>
      <c r="CB29" s="74">
        <f t="shared" si="21"/>
        <v>0</v>
      </c>
    </row>
    <row r="30" spans="1:80" x14ac:dyDescent="0.3">
      <c r="A30" s="91">
        <v>37108</v>
      </c>
      <c r="B30" s="206" t="s">
        <v>156</v>
      </c>
      <c r="C30" s="7">
        <f t="shared" si="17"/>
        <v>0.62178215366034506</v>
      </c>
      <c r="D30" s="178">
        <f t="shared" si="22"/>
        <v>0.14462946093508772</v>
      </c>
      <c r="E30" s="271">
        <v>0.27</v>
      </c>
      <c r="F30" s="94">
        <v>0.23260471546774733</v>
      </c>
      <c r="G30" s="8">
        <v>4081.6575292533571</v>
      </c>
      <c r="H30" s="8">
        <v>87.35049862860906</v>
      </c>
      <c r="I30" s="8">
        <v>0</v>
      </c>
      <c r="J30" s="8">
        <v>4.1317768330811759</v>
      </c>
      <c r="K30" s="8">
        <v>2855.439853004088</v>
      </c>
      <c r="L30" s="8">
        <v>1022.550783597786</v>
      </c>
      <c r="M30" s="95">
        <v>737.66478475459894</v>
      </c>
      <c r="N30" s="96">
        <v>3295.7924800813598</v>
      </c>
      <c r="O30" s="71">
        <v>327.7477133854286</v>
      </c>
      <c r="P30" s="8">
        <v>1.9849213627514291</v>
      </c>
      <c r="Q30" s="95">
        <v>146.9253236504286</v>
      </c>
      <c r="R30" s="71">
        <v>0</v>
      </c>
      <c r="S30" s="8">
        <v>0</v>
      </c>
      <c r="T30" s="8">
        <v>0</v>
      </c>
      <c r="U30" s="8">
        <v>18.526633515811429</v>
      </c>
      <c r="V30" s="8">
        <v>989.56683966784283</v>
      </c>
      <c r="W30" s="8">
        <v>57.646222920200003</v>
      </c>
      <c r="X30" s="8">
        <v>1.129188562857143</v>
      </c>
      <c r="Y30" s="95">
        <v>147.05723959154571</v>
      </c>
      <c r="Z30" s="97">
        <v>10.536735428571429</v>
      </c>
      <c r="AA30" s="8"/>
      <c r="AB30" s="98">
        <f t="shared" si="23"/>
        <v>0</v>
      </c>
      <c r="AC30" s="71">
        <f t="shared" si="24"/>
        <v>13785.708524238318</v>
      </c>
      <c r="AD30" s="8">
        <v>5883.3228740212617</v>
      </c>
      <c r="AE30" s="95">
        <f t="shared" si="25"/>
        <v>7902.3856502170565</v>
      </c>
      <c r="AF30" s="172" t="s">
        <v>90</v>
      </c>
      <c r="AG30" s="100">
        <v>0</v>
      </c>
      <c r="AH30" s="101">
        <v>0</v>
      </c>
      <c r="AI30" s="101">
        <v>0</v>
      </c>
      <c r="AJ30" s="101">
        <v>0</v>
      </c>
      <c r="AK30" s="101">
        <v>0</v>
      </c>
      <c r="AL30" s="101">
        <v>0</v>
      </c>
      <c r="AM30" s="98">
        <v>0</v>
      </c>
      <c r="AN30" s="101">
        <v>0</v>
      </c>
      <c r="AO30" s="100">
        <v>0</v>
      </c>
      <c r="AP30" s="101">
        <v>0</v>
      </c>
      <c r="AQ30" s="98">
        <v>0</v>
      </c>
      <c r="AR30" s="100">
        <v>0</v>
      </c>
      <c r="AS30" s="101">
        <v>0</v>
      </c>
      <c r="AT30" s="101">
        <v>0</v>
      </c>
      <c r="AU30" s="101">
        <v>0</v>
      </c>
      <c r="AV30" s="101">
        <v>0</v>
      </c>
      <c r="AW30" s="101">
        <v>0</v>
      </c>
      <c r="AX30" s="101">
        <v>0</v>
      </c>
      <c r="AY30" s="98">
        <v>0</v>
      </c>
      <c r="AZ30" s="100">
        <v>0</v>
      </c>
      <c r="BA30" s="98"/>
      <c r="BB30" s="102">
        <f t="shared" si="26"/>
        <v>0</v>
      </c>
      <c r="BC30" s="10"/>
      <c r="BD30" s="71">
        <f t="shared" si="18"/>
        <v>37108</v>
      </c>
      <c r="BE30" s="8" t="str">
        <f t="shared" si="18"/>
        <v>Tochten J</v>
      </c>
      <c r="BF30" s="7">
        <f t="shared" si="27"/>
        <v>0.29607890824594923</v>
      </c>
      <c r="BG30" s="7">
        <f t="shared" si="19"/>
        <v>6.3363082481417334E-3</v>
      </c>
      <c r="BH30" s="7">
        <f t="shared" si="19"/>
        <v>0</v>
      </c>
      <c r="BI30" s="7">
        <f t="shared" si="19"/>
        <v>2.9971450693423555E-4</v>
      </c>
      <c r="BJ30" s="7">
        <f t="shared" si="19"/>
        <v>0.20713043859759508</v>
      </c>
      <c r="BK30" s="7">
        <f t="shared" si="19"/>
        <v>7.4174699240152658E-2</v>
      </c>
      <c r="BL30" s="7">
        <f t="shared" si="19"/>
        <v>5.3509384987911315E-2</v>
      </c>
      <c r="BM30" s="7">
        <f t="shared" si="19"/>
        <v>0.23907312955925547</v>
      </c>
      <c r="BN30" s="7">
        <f t="shared" si="19"/>
        <v>2.3774455466628777E-2</v>
      </c>
      <c r="BO30" s="7">
        <f t="shared" si="19"/>
        <v>1.4398399322468621E-4</v>
      </c>
      <c r="BP30" s="7">
        <f t="shared" si="19"/>
        <v>1.0657799952182469E-2</v>
      </c>
      <c r="BQ30" s="7">
        <f t="shared" si="19"/>
        <v>0</v>
      </c>
      <c r="BR30" s="7">
        <f t="shared" si="19"/>
        <v>0</v>
      </c>
      <c r="BS30" s="7">
        <f t="shared" si="19"/>
        <v>0</v>
      </c>
      <c r="BT30" s="7">
        <f t="shared" si="19"/>
        <v>1.3439014384525481E-3</v>
      </c>
      <c r="BU30" s="7">
        <f t="shared" si="19"/>
        <v>7.1782080545803359E-2</v>
      </c>
      <c r="BV30" s="7">
        <f t="shared" si="19"/>
        <v>4.1815930475278236E-3</v>
      </c>
      <c r="BW30" s="7">
        <f t="shared" si="20"/>
        <v>8.1910085424465509E-5</v>
      </c>
      <c r="BX30" s="7">
        <f t="shared" si="20"/>
        <v>1.0667368988179797E-2</v>
      </c>
      <c r="BY30" s="7">
        <f t="shared" si="20"/>
        <v>7.643230966363116E-4</v>
      </c>
      <c r="BZ30" s="72">
        <f t="shared" si="11"/>
        <v>1</v>
      </c>
      <c r="CA30" s="261">
        <f t="shared" si="28"/>
        <v>0.62178215366034495</v>
      </c>
      <c r="CB30" s="74">
        <f t="shared" si="21"/>
        <v>0</v>
      </c>
    </row>
    <row r="31" spans="1:80" x14ac:dyDescent="0.3">
      <c r="A31" s="91">
        <v>37109</v>
      </c>
      <c r="B31" s="206" t="s">
        <v>91</v>
      </c>
      <c r="C31" s="7">
        <f>(SUMPRODUCT(G31:AA31,$G$38:$AA$38)+SUMPRODUCT(AG31:BA31,$AG$38:$BA$38))/AC31</f>
        <v>0.52205115619501219</v>
      </c>
      <c r="D31" s="178">
        <f t="shared" si="22"/>
        <v>6.4756227800148308E-2</v>
      </c>
      <c r="E31" s="271">
        <v>0.22</v>
      </c>
      <c r="F31" s="94">
        <v>0.12404192009098554</v>
      </c>
      <c r="G31" s="8">
        <v>18116.350452336501</v>
      </c>
      <c r="H31" s="8">
        <v>2941.02860246828</v>
      </c>
      <c r="I31" s="8">
        <v>0</v>
      </c>
      <c r="J31" s="8">
        <v>16.1765958974343</v>
      </c>
      <c r="K31" s="8">
        <v>11880.49430624235</v>
      </c>
      <c r="L31" s="8">
        <v>6843.9910577775772</v>
      </c>
      <c r="M31" s="95">
        <v>763.44076589009296</v>
      </c>
      <c r="N31" s="96">
        <v>7615.9049433290656</v>
      </c>
      <c r="O31" s="71">
        <v>1211.6737472831139</v>
      </c>
      <c r="P31" s="8">
        <v>924.4807074686571</v>
      </c>
      <c r="Q31" s="95">
        <v>551.73601178187425</v>
      </c>
      <c r="R31" s="71">
        <v>0</v>
      </c>
      <c r="S31" s="8">
        <v>0</v>
      </c>
      <c r="T31" s="8">
        <v>0</v>
      </c>
      <c r="U31" s="8">
        <v>97.539998300024294</v>
      </c>
      <c r="V31" s="8">
        <v>286.99945223972708</v>
      </c>
      <c r="W31" s="8">
        <v>79.091753116999996</v>
      </c>
      <c r="X31" s="8">
        <v>0.39731106799999999</v>
      </c>
      <c r="Y31" s="95">
        <v>311.01960441522863</v>
      </c>
      <c r="Z31" s="97">
        <v>5636.4791903163623</v>
      </c>
      <c r="AA31" s="8"/>
      <c r="AB31" s="98">
        <f t="shared" si="23"/>
        <v>852.68273433331046</v>
      </c>
      <c r="AC31" s="71">
        <f t="shared" si="24"/>
        <v>58129.487234264598</v>
      </c>
      <c r="AD31" s="8">
        <v>24809.376837483182</v>
      </c>
      <c r="AE31" s="95">
        <f t="shared" si="25"/>
        <v>33320.110396781412</v>
      </c>
      <c r="AF31" s="172" t="s">
        <v>92</v>
      </c>
      <c r="AG31" s="100">
        <v>251.67114420380551</v>
      </c>
      <c r="AH31" s="101">
        <v>6.1475229489431973</v>
      </c>
      <c r="AI31" s="101">
        <v>0</v>
      </c>
      <c r="AJ31" s="101">
        <v>0.22229154790210981</v>
      </c>
      <c r="AK31" s="101">
        <v>108.25961404545789</v>
      </c>
      <c r="AL31" s="101">
        <v>81.113991427046216</v>
      </c>
      <c r="AM31" s="98">
        <v>8.5703535407638629</v>
      </c>
      <c r="AN31" s="101">
        <v>154.93021865575091</v>
      </c>
      <c r="AO31" s="100">
        <v>22.241169202481561</v>
      </c>
      <c r="AP31" s="101">
        <v>18.345871179442579</v>
      </c>
      <c r="AQ31" s="98">
        <v>7.448158447768277</v>
      </c>
      <c r="AR31" s="100">
        <v>0</v>
      </c>
      <c r="AS31" s="101">
        <v>0</v>
      </c>
      <c r="AT31" s="101">
        <v>0</v>
      </c>
      <c r="AU31" s="101">
        <v>0.41180752901737611</v>
      </c>
      <c r="AV31" s="101">
        <v>1.1887708788455389</v>
      </c>
      <c r="AW31" s="101">
        <v>0.23563283529680421</v>
      </c>
      <c r="AX31" s="101">
        <v>0.47964727635358612</v>
      </c>
      <c r="AY31" s="98">
        <v>2.9589276104494622</v>
      </c>
      <c r="AZ31" s="100">
        <v>188.4576130039855</v>
      </c>
      <c r="BA31" s="98"/>
      <c r="BB31" s="102">
        <f t="shared" si="26"/>
        <v>852.68273433331046</v>
      </c>
      <c r="BC31" s="10"/>
      <c r="BD31" s="71">
        <f t="shared" si="18"/>
        <v>37109</v>
      </c>
      <c r="BE31" s="8" t="str">
        <f t="shared" si="18"/>
        <v>Tochten lage afdeling NOP</v>
      </c>
      <c r="BF31" s="7">
        <f t="shared" si="27"/>
        <v>0.31598457977990252</v>
      </c>
      <c r="BG31" s="7">
        <f t="shared" si="19"/>
        <v>5.0700191342475866E-2</v>
      </c>
      <c r="BH31" s="7">
        <f t="shared" si="19"/>
        <v>0</v>
      </c>
      <c r="BI31" s="7">
        <f t="shared" si="19"/>
        <v>2.8210961812286616E-4</v>
      </c>
      <c r="BJ31" s="7">
        <f t="shared" si="19"/>
        <v>0.20624221011915275</v>
      </c>
      <c r="BK31" s="7">
        <f t="shared" si="19"/>
        <v>0.11913239525571799</v>
      </c>
      <c r="BL31" s="7">
        <f t="shared" si="19"/>
        <v>1.3280886451305089E-2</v>
      </c>
      <c r="BM31" s="7">
        <f t="shared" si="19"/>
        <v>0.13368146755996627</v>
      </c>
      <c r="BN31" s="7">
        <f t="shared" si="19"/>
        <v>2.1227005005443448E-2</v>
      </c>
      <c r="BO31" s="7">
        <f t="shared" si="19"/>
        <v>1.6219420185980032E-2</v>
      </c>
      <c r="BP31" s="7">
        <f t="shared" si="19"/>
        <v>9.6196301883087962E-3</v>
      </c>
      <c r="BQ31" s="7">
        <f t="shared" si="19"/>
        <v>0</v>
      </c>
      <c r="BR31" s="7">
        <f t="shared" si="19"/>
        <v>0</v>
      </c>
      <c r="BS31" s="7">
        <f t="shared" si="19"/>
        <v>0</v>
      </c>
      <c r="BT31" s="7">
        <f t="shared" si="19"/>
        <v>1.6850622719978801E-3</v>
      </c>
      <c r="BU31" s="7">
        <f t="shared" si="19"/>
        <v>4.9576942242266888E-3</v>
      </c>
      <c r="BV31" s="7">
        <f t="shared" si="19"/>
        <v>1.3646668795237028E-3</v>
      </c>
      <c r="BW31" s="7">
        <f t="shared" si="20"/>
        <v>1.5086290729168181E-5</v>
      </c>
      <c r="BX31" s="7">
        <f t="shared" si="20"/>
        <v>5.4013642122857485E-3</v>
      </c>
      <c r="BY31" s="7">
        <f t="shared" si="20"/>
        <v>0.1002062306148612</v>
      </c>
      <c r="BZ31" s="72">
        <f t="shared" si="11"/>
        <v>1</v>
      </c>
      <c r="CA31" s="261">
        <f>SUMPRODUCT(BF31:BY31,$BF$38:$BY$38)</f>
        <v>0.52205115619501219</v>
      </c>
      <c r="CB31" s="74">
        <f t="shared" si="21"/>
        <v>0</v>
      </c>
    </row>
    <row r="32" spans="1:80" x14ac:dyDescent="0.3">
      <c r="A32" s="91">
        <v>37110</v>
      </c>
      <c r="B32" s="206" t="s">
        <v>93</v>
      </c>
      <c r="C32" s="7">
        <f t="shared" si="17"/>
        <v>0.85402433920197229</v>
      </c>
      <c r="D32" s="178"/>
      <c r="E32" s="271"/>
      <c r="F32" s="94"/>
      <c r="G32" s="8">
        <v>47.928937488537713</v>
      </c>
      <c r="H32" s="8">
        <v>6.487605309119048</v>
      </c>
      <c r="I32" s="8">
        <v>0</v>
      </c>
      <c r="J32" s="8">
        <v>0.15315019895712559</v>
      </c>
      <c r="K32" s="8">
        <v>25.092685645227569</v>
      </c>
      <c r="L32" s="8">
        <v>23.34182275581572</v>
      </c>
      <c r="M32" s="95">
        <v>1181.180726537975</v>
      </c>
      <c r="N32" s="96">
        <v>25.542605260181741</v>
      </c>
      <c r="O32" s="71">
        <v>0</v>
      </c>
      <c r="P32" s="8">
        <v>37.050305741999999</v>
      </c>
      <c r="Q32" s="95">
        <v>2.8753575752857139</v>
      </c>
      <c r="R32" s="71">
        <v>0</v>
      </c>
      <c r="S32" s="8">
        <v>0</v>
      </c>
      <c r="T32" s="8">
        <v>0</v>
      </c>
      <c r="U32" s="8">
        <v>0</v>
      </c>
      <c r="V32" s="8">
        <v>1512.896573081571</v>
      </c>
      <c r="W32" s="8">
        <v>3180.9272365000002</v>
      </c>
      <c r="X32" s="8">
        <v>0</v>
      </c>
      <c r="Y32" s="95">
        <v>213.92799449428571</v>
      </c>
      <c r="Z32" s="97">
        <v>0</v>
      </c>
      <c r="AA32" s="8"/>
      <c r="AB32" s="98">
        <f t="shared" si="23"/>
        <v>0</v>
      </c>
      <c r="AC32" s="71">
        <f t="shared" si="24"/>
        <v>6257.4050005889558</v>
      </c>
      <c r="AD32" s="8">
        <v>2166.761547766424</v>
      </c>
      <c r="AE32" s="95">
        <f t="shared" si="25"/>
        <v>4090.6434528225318</v>
      </c>
      <c r="AF32" s="172" t="s">
        <v>93</v>
      </c>
      <c r="AG32" s="100">
        <v>0</v>
      </c>
      <c r="AH32" s="101">
        <v>0</v>
      </c>
      <c r="AI32" s="101">
        <v>0</v>
      </c>
      <c r="AJ32" s="101">
        <v>0</v>
      </c>
      <c r="AK32" s="101">
        <v>0</v>
      </c>
      <c r="AL32" s="101">
        <v>0</v>
      </c>
      <c r="AM32" s="98">
        <v>0</v>
      </c>
      <c r="AN32" s="101">
        <v>0</v>
      </c>
      <c r="AO32" s="100">
        <v>0</v>
      </c>
      <c r="AP32" s="101">
        <v>0</v>
      </c>
      <c r="AQ32" s="98">
        <v>0</v>
      </c>
      <c r="AR32" s="100">
        <v>0</v>
      </c>
      <c r="AS32" s="101">
        <v>0</v>
      </c>
      <c r="AT32" s="101">
        <v>0</v>
      </c>
      <c r="AU32" s="101">
        <v>0</v>
      </c>
      <c r="AV32" s="101">
        <v>0</v>
      </c>
      <c r="AW32" s="101">
        <v>0</v>
      </c>
      <c r="AX32" s="101">
        <v>0</v>
      </c>
      <c r="AY32" s="98">
        <v>0</v>
      </c>
      <c r="AZ32" s="100">
        <v>0</v>
      </c>
      <c r="BA32" s="98"/>
      <c r="BB32" s="102">
        <f t="shared" si="26"/>
        <v>0</v>
      </c>
      <c r="BC32" s="10"/>
      <c r="BD32" s="71">
        <f t="shared" si="18"/>
        <v>37110</v>
      </c>
      <c r="BE32" s="8" t="str">
        <f t="shared" si="18"/>
        <v>Oostvaardersplassen</v>
      </c>
      <c r="BF32" s="7">
        <f t="shared" si="27"/>
        <v>7.6595549567315159E-3</v>
      </c>
      <c r="BG32" s="7">
        <f t="shared" si="19"/>
        <v>1.036788462391107E-3</v>
      </c>
      <c r="BH32" s="7">
        <f t="shared" si="19"/>
        <v>0</v>
      </c>
      <c r="BI32" s="7">
        <f t="shared" si="19"/>
        <v>2.4475033810774735E-5</v>
      </c>
      <c r="BJ32" s="7">
        <f t="shared" si="19"/>
        <v>4.0100785617785345E-3</v>
      </c>
      <c r="BK32" s="7">
        <f t="shared" si="19"/>
        <v>3.7302720142964622E-3</v>
      </c>
      <c r="BL32" s="7">
        <f t="shared" si="19"/>
        <v>0.1887652671397809</v>
      </c>
      <c r="BM32" s="7">
        <f t="shared" si="19"/>
        <v>4.0819805107353028E-3</v>
      </c>
      <c r="BN32" s="7">
        <f t="shared" si="19"/>
        <v>0</v>
      </c>
      <c r="BO32" s="7">
        <f t="shared" si="19"/>
        <v>5.9210336774609875E-3</v>
      </c>
      <c r="BP32" s="7">
        <f t="shared" si="19"/>
        <v>4.5951278125917712E-4</v>
      </c>
      <c r="BQ32" s="7">
        <f t="shared" si="19"/>
        <v>0</v>
      </c>
      <c r="BR32" s="7">
        <f t="shared" si="19"/>
        <v>0</v>
      </c>
      <c r="BS32" s="7">
        <f t="shared" si="19"/>
        <v>0</v>
      </c>
      <c r="BT32" s="7">
        <f t="shared" si="19"/>
        <v>0</v>
      </c>
      <c r="BU32" s="7">
        <f t="shared" si="19"/>
        <v>0.24177699428743624</v>
      </c>
      <c r="BV32" s="7">
        <f t="shared" si="19"/>
        <v>0.50834606936910853</v>
      </c>
      <c r="BW32" s="7">
        <f t="shared" si="20"/>
        <v>0</v>
      </c>
      <c r="BX32" s="7">
        <f t="shared" si="20"/>
        <v>3.4187973205210546E-2</v>
      </c>
      <c r="BY32" s="7">
        <f t="shared" si="20"/>
        <v>0</v>
      </c>
      <c r="BZ32" s="72">
        <f t="shared" si="11"/>
        <v>1</v>
      </c>
      <c r="CA32" s="261">
        <f t="shared" si="28"/>
        <v>0.85402433920197218</v>
      </c>
      <c r="CB32" s="74">
        <f t="shared" si="21"/>
        <v>0</v>
      </c>
    </row>
    <row r="33" spans="1:80" x14ac:dyDescent="0.3">
      <c r="A33" s="91">
        <v>37111</v>
      </c>
      <c r="B33" s="206" t="s">
        <v>94</v>
      </c>
      <c r="C33" s="7">
        <f>(SUMPRODUCT(G33:AA33,$G$38:$AA$38)+SUMPRODUCT(AG33:BA33,$AG$38:$BA$38))/AC33</f>
        <v>0.48733408123719646</v>
      </c>
      <c r="D33" s="178">
        <f t="shared" si="22"/>
        <v>6.583031881190167E-2</v>
      </c>
      <c r="E33" s="271">
        <v>0.22</v>
      </c>
      <c r="F33" s="94">
        <v>0.13508252623083131</v>
      </c>
      <c r="G33" s="8">
        <v>4165.4744254174284</v>
      </c>
      <c r="H33" s="8">
        <v>97.628210651724004</v>
      </c>
      <c r="I33" s="8">
        <v>0</v>
      </c>
      <c r="J33" s="8">
        <v>3.622149267208481</v>
      </c>
      <c r="K33" s="8">
        <v>1832.695481592933</v>
      </c>
      <c r="L33" s="8">
        <v>1349.2254415524751</v>
      </c>
      <c r="M33" s="95">
        <v>135.19398928058661</v>
      </c>
      <c r="N33" s="96">
        <v>1784.211673102843</v>
      </c>
      <c r="O33" s="71">
        <v>409.81498957485712</v>
      </c>
      <c r="P33" s="8">
        <v>338.04036728905709</v>
      </c>
      <c r="Q33" s="95">
        <v>137.23950161232861</v>
      </c>
      <c r="R33" s="71">
        <v>0</v>
      </c>
      <c r="S33" s="8">
        <v>0</v>
      </c>
      <c r="T33" s="8">
        <v>0</v>
      </c>
      <c r="U33" s="8">
        <v>7.5879508255471428</v>
      </c>
      <c r="V33" s="8">
        <v>21.904249766987139</v>
      </c>
      <c r="W33" s="8">
        <v>2.7136013810000001</v>
      </c>
      <c r="X33" s="8">
        <v>5.5237272422857142</v>
      </c>
      <c r="Y33" s="95">
        <v>54.52109449775714</v>
      </c>
      <c r="Z33" s="97">
        <v>2473.0953994804781</v>
      </c>
      <c r="AA33" s="8"/>
      <c r="AB33" s="98">
        <f t="shared" si="23"/>
        <v>241.21463061536201</v>
      </c>
      <c r="AC33" s="71">
        <f t="shared" si="24"/>
        <v>13059.706883150859</v>
      </c>
      <c r="AD33" s="8">
        <v>5177.8257320288376</v>
      </c>
      <c r="AE33" s="95">
        <f t="shared" si="25"/>
        <v>7881.881151122021</v>
      </c>
      <c r="AF33" s="172" t="s">
        <v>95</v>
      </c>
      <c r="AG33" s="100">
        <v>72.948707694704751</v>
      </c>
      <c r="AH33" s="101">
        <v>12.98439750347349</v>
      </c>
      <c r="AI33" s="101">
        <v>0</v>
      </c>
      <c r="AJ33" s="101">
        <v>6.6336364537634696E-2</v>
      </c>
      <c r="AK33" s="101">
        <v>46.13034837641203</v>
      </c>
      <c r="AL33" s="101">
        <v>27.431711904564619</v>
      </c>
      <c r="AM33" s="98">
        <v>3.3452513346571502</v>
      </c>
      <c r="AN33" s="101">
        <v>41.653228717159472</v>
      </c>
      <c r="AO33" s="100">
        <v>4.1419244045975221</v>
      </c>
      <c r="AP33" s="101">
        <v>3.1602160588504828</v>
      </c>
      <c r="AQ33" s="98">
        <v>1.8859917933424311</v>
      </c>
      <c r="AR33" s="100">
        <v>0</v>
      </c>
      <c r="AS33" s="101">
        <v>0</v>
      </c>
      <c r="AT33" s="101">
        <v>0</v>
      </c>
      <c r="AU33" s="101">
        <v>0.33340792786110368</v>
      </c>
      <c r="AV33" s="101">
        <v>0.98101153718197187</v>
      </c>
      <c r="AW33" s="101">
        <v>0.43255414133456033</v>
      </c>
      <c r="AX33" s="101">
        <v>2.1791068294932181E-3</v>
      </c>
      <c r="AY33" s="98">
        <v>1.063138054330113</v>
      </c>
      <c r="AZ33" s="100">
        <v>24.65422569552516</v>
      </c>
      <c r="BA33" s="98"/>
      <c r="BB33" s="102">
        <f t="shared" si="26"/>
        <v>241.21463061536201</v>
      </c>
      <c r="BC33" s="10"/>
      <c r="BD33" s="71">
        <f t="shared" si="18"/>
        <v>37111</v>
      </c>
      <c r="BE33" s="8" t="str">
        <f t="shared" si="18"/>
        <v>Tochten hoge afdeling NOP</v>
      </c>
      <c r="BF33" s="7">
        <f t="shared" si="27"/>
        <v>0.32454198023237307</v>
      </c>
      <c r="BG33" s="7">
        <f t="shared" si="19"/>
        <v>8.4697619284170699E-3</v>
      </c>
      <c r="BH33" s="7">
        <f t="shared" si="19"/>
        <v>0</v>
      </c>
      <c r="BI33" s="7">
        <f t="shared" si="19"/>
        <v>2.8243249750917925E-4</v>
      </c>
      <c r="BJ33" s="7">
        <f t="shared" si="19"/>
        <v>0.14386431845521244</v>
      </c>
      <c r="BK33" s="7">
        <f t="shared" si="19"/>
        <v>0.10541256138245728</v>
      </c>
      <c r="BL33" s="7">
        <f t="shared" si="19"/>
        <v>1.0608143188418866E-2</v>
      </c>
      <c r="BM33" s="7">
        <f t="shared" si="19"/>
        <v>0.13980902620223923</v>
      </c>
      <c r="BN33" s="7">
        <f t="shared" si="19"/>
        <v>3.1697259186844864E-2</v>
      </c>
      <c r="BO33" s="7">
        <f t="shared" si="19"/>
        <v>2.6126205312319201E-2</v>
      </c>
      <c r="BP33" s="7">
        <f t="shared" si="19"/>
        <v>1.065303338355668E-2</v>
      </c>
      <c r="BQ33" s="7">
        <f t="shared" si="19"/>
        <v>0</v>
      </c>
      <c r="BR33" s="7">
        <f t="shared" si="19"/>
        <v>0</v>
      </c>
      <c r="BS33" s="7">
        <f t="shared" si="19"/>
        <v>0</v>
      </c>
      <c r="BT33" s="7">
        <f t="shared" si="19"/>
        <v>6.0654950561165233E-4</v>
      </c>
      <c r="BU33" s="7">
        <f t="shared" si="19"/>
        <v>1.7523564279757924E-3</v>
      </c>
      <c r="BV33" s="7">
        <f t="shared" si="19"/>
        <v>2.4090552341520096E-4</v>
      </c>
      <c r="BW33" s="7">
        <f t="shared" si="20"/>
        <v>4.2312636865108542E-4</v>
      </c>
      <c r="BX33" s="7">
        <f t="shared" si="20"/>
        <v>4.2561623357565501E-3</v>
      </c>
      <c r="BY33" s="7">
        <f t="shared" si="20"/>
        <v>0.19125617806924181</v>
      </c>
      <c r="BZ33" s="72">
        <f t="shared" si="11"/>
        <v>0.99999999999999989</v>
      </c>
      <c r="CA33" s="261">
        <f>SUMPRODUCT(BF33:BY33,$BF$38:$BY$38)</f>
        <v>0.48733408123719651</v>
      </c>
      <c r="CB33" s="74">
        <f t="shared" si="21"/>
        <v>0</v>
      </c>
    </row>
    <row r="34" spans="1:80" x14ac:dyDescent="0.3">
      <c r="A34" s="91">
        <v>37112</v>
      </c>
      <c r="B34" s="206" t="s">
        <v>96</v>
      </c>
      <c r="C34" s="7">
        <f>(SUMPRODUCT(G34:AA34,$G$38:$AA$38)+SUMPRODUCT(AG34:BA34,$AG$38:$BA$38))/AC34</f>
        <v>0.52751052823347222</v>
      </c>
      <c r="D34" s="178">
        <f t="shared" si="22"/>
        <v>5.2774017932186272E-2</v>
      </c>
      <c r="E34" s="271">
        <v>0.15</v>
      </c>
      <c r="F34" s="94">
        <v>0.10004353488245241</v>
      </c>
      <c r="G34" s="8">
        <v>855.12382884863428</v>
      </c>
      <c r="H34" s="8">
        <v>19.804032474935099</v>
      </c>
      <c r="I34" s="8">
        <v>0</v>
      </c>
      <c r="J34" s="8">
        <v>0.56882114456645416</v>
      </c>
      <c r="K34" s="8">
        <v>274.92580229843708</v>
      </c>
      <c r="L34" s="8">
        <v>363.88867658737018</v>
      </c>
      <c r="M34" s="95">
        <v>205.02532283989561</v>
      </c>
      <c r="N34" s="96">
        <v>5703.4411613348602</v>
      </c>
      <c r="O34" s="71">
        <v>26.133855019999999</v>
      </c>
      <c r="P34" s="8">
        <v>13.674130992</v>
      </c>
      <c r="Q34" s="95">
        <v>30.478951885857139</v>
      </c>
      <c r="R34" s="71">
        <v>5904.7142857142853</v>
      </c>
      <c r="S34" s="8">
        <v>0</v>
      </c>
      <c r="T34" s="8">
        <v>0</v>
      </c>
      <c r="U34" s="8">
        <v>27.285295729714289</v>
      </c>
      <c r="V34" s="8">
        <v>74.158020971857141</v>
      </c>
      <c r="W34" s="8">
        <v>0.984456585</v>
      </c>
      <c r="X34" s="8">
        <v>200.34145941857139</v>
      </c>
      <c r="Y34" s="95">
        <v>30.002184561428571</v>
      </c>
      <c r="Z34" s="97">
        <v>1367.295768592383</v>
      </c>
      <c r="AA34" s="8"/>
      <c r="AB34" s="98">
        <f t="shared" si="23"/>
        <v>38195.830324627488</v>
      </c>
      <c r="AC34" s="71">
        <f t="shared" si="24"/>
        <v>53293.676379627286</v>
      </c>
      <c r="AD34" s="8">
        <v>10384.77709578901</v>
      </c>
      <c r="AE34" s="95">
        <f t="shared" si="25"/>
        <v>42908.899283838276</v>
      </c>
      <c r="AF34" s="172" t="s">
        <v>97</v>
      </c>
      <c r="AG34" s="100">
        <v>10521.95467250098</v>
      </c>
      <c r="AH34" s="101">
        <v>1497.9061543972241</v>
      </c>
      <c r="AI34" s="101">
        <v>0</v>
      </c>
      <c r="AJ34" s="101">
        <v>9.3533415304742853</v>
      </c>
      <c r="AK34" s="101">
        <v>6577.8360882001161</v>
      </c>
      <c r="AL34" s="101">
        <v>3894.216556616484</v>
      </c>
      <c r="AM34" s="98">
        <v>428.03281887542681</v>
      </c>
      <c r="AN34" s="101">
        <v>7129.7095901057419</v>
      </c>
      <c r="AO34" s="100">
        <v>756.34157973043796</v>
      </c>
      <c r="AP34" s="101">
        <v>586.61441455098281</v>
      </c>
      <c r="AQ34" s="98">
        <v>325.82421968912467</v>
      </c>
      <c r="AR34" s="100">
        <v>0</v>
      </c>
      <c r="AS34" s="101">
        <v>0</v>
      </c>
      <c r="AT34" s="101">
        <v>0</v>
      </c>
      <c r="AU34" s="101">
        <v>51.327688865105287</v>
      </c>
      <c r="AV34" s="101">
        <v>150.86649343987179</v>
      </c>
      <c r="AW34" s="101">
        <v>64.521226759529299</v>
      </c>
      <c r="AX34" s="101">
        <v>3.6413257112364068</v>
      </c>
      <c r="AY34" s="98">
        <v>175.07590670053949</v>
      </c>
      <c r="AZ34" s="100">
        <v>6022.6082469542089</v>
      </c>
      <c r="BA34" s="98"/>
      <c r="BB34" s="102">
        <f t="shared" si="26"/>
        <v>38195.830324627488</v>
      </c>
      <c r="BC34" s="10"/>
      <c r="BD34" s="71">
        <f t="shared" si="18"/>
        <v>37112</v>
      </c>
      <c r="BE34" s="8" t="str">
        <f t="shared" si="18"/>
        <v>Vaarten NOP</v>
      </c>
      <c r="BF34" s="7">
        <f t="shared" si="27"/>
        <v>0.21347895799695216</v>
      </c>
      <c r="BG34" s="7">
        <f t="shared" si="19"/>
        <v>2.8478241509575015E-2</v>
      </c>
      <c r="BH34" s="7">
        <f t="shared" si="19"/>
        <v>0</v>
      </c>
      <c r="BI34" s="7">
        <f t="shared" si="19"/>
        <v>1.86178986871953E-4</v>
      </c>
      <c r="BJ34" s="7">
        <f t="shared" si="19"/>
        <v>0.12858489704640036</v>
      </c>
      <c r="BK34" s="7">
        <f t="shared" si="19"/>
        <v>7.989888336605E-2</v>
      </c>
      <c r="BL34" s="7">
        <f t="shared" si="19"/>
        <v>1.1878672756704832E-2</v>
      </c>
      <c r="BM34" s="7">
        <f t="shared" si="19"/>
        <v>0.24080062820260537</v>
      </c>
      <c r="BN34" s="7">
        <f t="shared" si="19"/>
        <v>1.4682331711864352E-2</v>
      </c>
      <c r="BO34" s="7">
        <f t="shared" si="19"/>
        <v>1.1263785618146184E-2</v>
      </c>
      <c r="BP34" s="7">
        <f t="shared" si="19"/>
        <v>6.685655705883837E-3</v>
      </c>
      <c r="BQ34" s="7">
        <f t="shared" si="19"/>
        <v>0.11079577703840855</v>
      </c>
      <c r="BR34" s="7">
        <f t="shared" si="19"/>
        <v>0</v>
      </c>
      <c r="BS34" s="7">
        <f t="shared" si="19"/>
        <v>0</v>
      </c>
      <c r="BT34" s="7">
        <f t="shared" si="19"/>
        <v>1.4750902909162252E-3</v>
      </c>
      <c r="BU34" s="7">
        <f t="shared" si="19"/>
        <v>4.2223492485076461E-3</v>
      </c>
      <c r="BV34" s="7">
        <f t="shared" si="19"/>
        <v>1.2291455158377914E-3</v>
      </c>
      <c r="BW34" s="7">
        <f t="shared" si="20"/>
        <v>3.8275232445360973E-3</v>
      </c>
      <c r="BX34" s="7">
        <f t="shared" si="20"/>
        <v>3.8480755165234541E-3</v>
      </c>
      <c r="BY34" s="7">
        <f t="shared" si="20"/>
        <v>0.13866380624421606</v>
      </c>
      <c r="BZ34" s="72">
        <f t="shared" si="11"/>
        <v>0.99999999999999989</v>
      </c>
      <c r="CA34" s="261">
        <f>SUMPRODUCT(BF34:BY34,$BF$38:$BY$38)</f>
        <v>0.52751052823347222</v>
      </c>
      <c r="CB34" s="74">
        <f t="shared" si="21"/>
        <v>0</v>
      </c>
    </row>
    <row r="35" spans="1:80" x14ac:dyDescent="0.3">
      <c r="A35" s="91">
        <v>37113</v>
      </c>
      <c r="B35" s="206" t="s">
        <v>98</v>
      </c>
      <c r="C35" s="7">
        <f t="shared" si="17"/>
        <v>0.7089882547769536</v>
      </c>
      <c r="D35" s="178">
        <f t="shared" si="22"/>
        <v>6.1679159687142236E-2</v>
      </c>
      <c r="E35" s="271">
        <v>0.1</v>
      </c>
      <c r="F35" s="94">
        <v>8.6996024647187406E-2</v>
      </c>
      <c r="G35" s="8">
        <v>2847.7596522237959</v>
      </c>
      <c r="H35" s="8">
        <v>44.728813174927623</v>
      </c>
      <c r="I35" s="8">
        <v>0</v>
      </c>
      <c r="J35" s="8">
        <v>1.9333492875410569</v>
      </c>
      <c r="K35" s="8">
        <v>819.53954205202558</v>
      </c>
      <c r="L35" s="8">
        <v>1306.8726457772309</v>
      </c>
      <c r="M35" s="95">
        <v>306.24371095819112</v>
      </c>
      <c r="N35" s="96">
        <v>4368.4392259601418</v>
      </c>
      <c r="O35" s="71">
        <v>196.02105549999999</v>
      </c>
      <c r="P35" s="8">
        <v>0.32259799785714288</v>
      </c>
      <c r="Q35" s="95">
        <v>76.985821000000001</v>
      </c>
      <c r="R35" s="71">
        <v>640.37142857142862</v>
      </c>
      <c r="S35" s="8">
        <v>0</v>
      </c>
      <c r="T35" s="8">
        <v>0</v>
      </c>
      <c r="U35" s="8">
        <v>12.782538231</v>
      </c>
      <c r="V35" s="8">
        <v>100.83760579</v>
      </c>
      <c r="W35" s="8">
        <v>0.82694353099999995</v>
      </c>
      <c r="X35" s="8">
        <v>134.01620994657139</v>
      </c>
      <c r="Y35" s="95">
        <v>27.27391751157143</v>
      </c>
      <c r="Z35" s="97">
        <v>1866.663268448543</v>
      </c>
      <c r="AA35" s="8"/>
      <c r="AB35" s="98">
        <f t="shared" si="23"/>
        <v>20804.31002546805</v>
      </c>
      <c r="AC35" s="71">
        <f t="shared" si="24"/>
        <v>33555.928351429873</v>
      </c>
      <c r="AD35" s="8">
        <v>8425.0377594229303</v>
      </c>
      <c r="AE35" s="95">
        <f t="shared" si="25"/>
        <v>25130.890592006945</v>
      </c>
      <c r="AF35" s="172" t="s">
        <v>99</v>
      </c>
      <c r="AG35" s="100">
        <v>2634.379598116866</v>
      </c>
      <c r="AH35" s="101">
        <v>137.18340539722919</v>
      </c>
      <c r="AI35" s="101">
        <v>0</v>
      </c>
      <c r="AJ35" s="101">
        <v>4.3198412018169927</v>
      </c>
      <c r="AK35" s="101">
        <v>2084.8486375840248</v>
      </c>
      <c r="AL35" s="101">
        <v>1354.2611382766449</v>
      </c>
      <c r="AM35" s="98">
        <v>2295.4115969607519</v>
      </c>
      <c r="AN35" s="101">
        <v>7992.7559084831482</v>
      </c>
      <c r="AO35" s="100">
        <v>535.98763896195715</v>
      </c>
      <c r="AP35" s="101">
        <v>4.8579107082857149</v>
      </c>
      <c r="AQ35" s="98">
        <v>121.41044554001429</v>
      </c>
      <c r="AR35" s="100">
        <v>0</v>
      </c>
      <c r="AS35" s="101">
        <v>0</v>
      </c>
      <c r="AT35" s="101">
        <v>0</v>
      </c>
      <c r="AU35" s="101">
        <v>4.8709957317142862</v>
      </c>
      <c r="AV35" s="101">
        <v>2473.9189594696049</v>
      </c>
      <c r="AW35" s="101">
        <v>849.61662917847036</v>
      </c>
      <c r="AX35" s="101">
        <v>17.1404244344</v>
      </c>
      <c r="AY35" s="98">
        <v>247.04133966274921</v>
      </c>
      <c r="AZ35" s="100">
        <v>46.305555760368463</v>
      </c>
      <c r="BA35" s="98"/>
      <c r="BB35" s="102">
        <f t="shared" si="26"/>
        <v>20804.31002546805</v>
      </c>
      <c r="BC35" s="10"/>
      <c r="BD35" s="71">
        <f t="shared" si="18"/>
        <v>37113</v>
      </c>
      <c r="BE35" s="8" t="str">
        <f t="shared" si="18"/>
        <v>Vaarten hoge afdeling ZOF</v>
      </c>
      <c r="BF35" s="7">
        <f t="shared" si="27"/>
        <v>0.16337319572644335</v>
      </c>
      <c r="BG35" s="7">
        <f t="shared" si="19"/>
        <v>5.4211648286704378E-3</v>
      </c>
      <c r="BH35" s="7">
        <f t="shared" si="19"/>
        <v>0</v>
      </c>
      <c r="BI35" s="7">
        <f t="shared" si="19"/>
        <v>1.863512886268155E-4</v>
      </c>
      <c r="BJ35" s="7">
        <f t="shared" si="19"/>
        <v>8.6553653030204111E-2</v>
      </c>
      <c r="BK35" s="7">
        <f t="shared" si="19"/>
        <v>7.9304430388095065E-2</v>
      </c>
      <c r="BL35" s="7">
        <f t="shared" si="19"/>
        <v>7.7531912712171538E-2</v>
      </c>
      <c r="BM35" s="7">
        <f t="shared" si="19"/>
        <v>0.36837589486379263</v>
      </c>
      <c r="BN35" s="7">
        <f t="shared" si="19"/>
        <v>2.1814586286979156E-2</v>
      </c>
      <c r="BO35" s="7">
        <f t="shared" si="19"/>
        <v>1.543843058635601E-4</v>
      </c>
      <c r="BP35" s="7">
        <f t="shared" si="19"/>
        <v>5.912405833694072E-3</v>
      </c>
      <c r="BQ35" s="7">
        <f t="shared" si="19"/>
        <v>1.9083704729156787E-2</v>
      </c>
      <c r="BR35" s="7">
        <f t="shared" si="19"/>
        <v>0</v>
      </c>
      <c r="BS35" s="7">
        <f t="shared" si="19"/>
        <v>0</v>
      </c>
      <c r="BT35" s="7">
        <f t="shared" si="19"/>
        <v>5.2609284946104136E-4</v>
      </c>
      <c r="BU35" s="7">
        <f t="shared" si="19"/>
        <v>7.6730303459176696E-2</v>
      </c>
      <c r="BV35" s="7">
        <f t="shared" si="19"/>
        <v>2.5344063314321374E-2</v>
      </c>
      <c r="BW35" s="7">
        <f t="shared" si="20"/>
        <v>4.5046178665633712E-3</v>
      </c>
      <c r="BX35" s="7">
        <f t="shared" si="20"/>
        <v>8.1748671740333959E-3</v>
      </c>
      <c r="BY35" s="7">
        <f t="shared" si="20"/>
        <v>5.7008371342746555E-2</v>
      </c>
      <c r="BZ35" s="72">
        <f t="shared" si="11"/>
        <v>1</v>
      </c>
      <c r="CA35" s="261">
        <f t="shared" ref="CA35:CA36" si="29">SUMPRODUCT(BF35:BY35,$BF$37:$BY$37)</f>
        <v>0.70898825477695349</v>
      </c>
      <c r="CB35" s="74">
        <f t="shared" si="21"/>
        <v>0</v>
      </c>
    </row>
    <row r="36" spans="1:80" x14ac:dyDescent="0.3">
      <c r="A36" s="105">
        <v>37114</v>
      </c>
      <c r="B36" s="245" t="s">
        <v>100</v>
      </c>
      <c r="C36" s="120">
        <f t="shared" si="17"/>
        <v>0.55532435075817499</v>
      </c>
      <c r="D36" s="181">
        <f t="shared" si="22"/>
        <v>8.1029274805986401E-2</v>
      </c>
      <c r="E36" s="272">
        <v>0.15</v>
      </c>
      <c r="F36" s="109">
        <v>0.14591341923933013</v>
      </c>
      <c r="G36" s="110">
        <v>1728.981861152994</v>
      </c>
      <c r="H36" s="110">
        <v>44.724921769316524</v>
      </c>
      <c r="I36" s="110">
        <v>0</v>
      </c>
      <c r="J36" s="110">
        <v>1.7117180783705179</v>
      </c>
      <c r="K36" s="110">
        <v>342.62576893925319</v>
      </c>
      <c r="L36" s="110">
        <v>797.51977084111104</v>
      </c>
      <c r="M36" s="111">
        <v>1045.326566860158</v>
      </c>
      <c r="N36" s="112">
        <v>9901.8216974635907</v>
      </c>
      <c r="O36" s="113">
        <v>65.340351835714287</v>
      </c>
      <c r="P36" s="110">
        <v>598.11269177142856</v>
      </c>
      <c r="Q36" s="111">
        <v>56.274838835714277</v>
      </c>
      <c r="R36" s="113">
        <v>13598.514285714289</v>
      </c>
      <c r="S36" s="110">
        <v>182.14285714285711</v>
      </c>
      <c r="T36" s="110">
        <v>0</v>
      </c>
      <c r="U36" s="110">
        <v>52.919024253571429</v>
      </c>
      <c r="V36" s="110">
        <v>1112.8964509142861</v>
      </c>
      <c r="W36" s="110">
        <v>77.461563060000003</v>
      </c>
      <c r="X36" s="110">
        <v>186.71374556585721</v>
      </c>
      <c r="Y36" s="111">
        <v>93.28852369642857</v>
      </c>
      <c r="Z36" s="266">
        <v>1454.048368555674</v>
      </c>
      <c r="AA36" s="110"/>
      <c r="AB36" s="115">
        <f t="shared" si="23"/>
        <v>34066.209377619023</v>
      </c>
      <c r="AC36" s="113">
        <f t="shared" si="24"/>
        <v>65406.634384069635</v>
      </c>
      <c r="AD36" s="110">
        <v>12891.81991527332</v>
      </c>
      <c r="AE36" s="111">
        <f t="shared" si="25"/>
        <v>52514.814468796314</v>
      </c>
      <c r="AF36" s="182" t="s">
        <v>101</v>
      </c>
      <c r="AG36" s="117">
        <v>8636.8800737333477</v>
      </c>
      <c r="AH36" s="118">
        <v>134.1674229167769</v>
      </c>
      <c r="AI36" s="118">
        <v>0</v>
      </c>
      <c r="AJ36" s="118">
        <v>7.588517728005713</v>
      </c>
      <c r="AK36" s="118">
        <v>2614.6719345181541</v>
      </c>
      <c r="AL36" s="118">
        <v>3724.9049073825799</v>
      </c>
      <c r="AM36" s="115">
        <v>1621.30166147311</v>
      </c>
      <c r="AN36" s="118">
        <v>10412.8771761055</v>
      </c>
      <c r="AO36" s="117">
        <v>663.36442957628492</v>
      </c>
      <c r="AP36" s="118">
        <v>23.187108653318798</v>
      </c>
      <c r="AQ36" s="115">
        <v>274.38974762717743</v>
      </c>
      <c r="AR36" s="117">
        <v>62.29255575738577</v>
      </c>
      <c r="AS36" s="118">
        <v>0</v>
      </c>
      <c r="AT36" s="118">
        <v>0</v>
      </c>
      <c r="AU36" s="118">
        <v>14.009249306537001</v>
      </c>
      <c r="AV36" s="118">
        <v>2306.571340932835</v>
      </c>
      <c r="AW36" s="118">
        <v>2941.7559224714182</v>
      </c>
      <c r="AX36" s="118">
        <v>15.18854050780352</v>
      </c>
      <c r="AY36" s="115">
        <v>332.33183619274308</v>
      </c>
      <c r="AZ36" s="117">
        <v>280.72695273603699</v>
      </c>
      <c r="BA36" s="115"/>
      <c r="BB36" s="119">
        <f t="shared" si="26"/>
        <v>34066.209377619023</v>
      </c>
      <c r="BC36" s="10"/>
      <c r="BD36" s="113">
        <f t="shared" si="18"/>
        <v>37114</v>
      </c>
      <c r="BE36" s="110" t="str">
        <f t="shared" si="18"/>
        <v>Vaarten Lage afdeling ZOF</v>
      </c>
      <c r="BF36" s="120">
        <f t="shared" si="27"/>
        <v>0.15848334091030739</v>
      </c>
      <c r="BG36" s="120">
        <f t="shared" si="19"/>
        <v>2.7350794972209156E-3</v>
      </c>
      <c r="BH36" s="120">
        <f t="shared" si="19"/>
        <v>0</v>
      </c>
      <c r="BI36" s="120">
        <f t="shared" si="19"/>
        <v>1.4219101615540984E-4</v>
      </c>
      <c r="BJ36" s="120">
        <f t="shared" si="19"/>
        <v>4.521403266359908E-2</v>
      </c>
      <c r="BK36" s="120">
        <f t="shared" si="19"/>
        <v>6.9143210330436577E-2</v>
      </c>
      <c r="BL36" s="120">
        <f t="shared" si="19"/>
        <v>4.0769996093588161E-2</v>
      </c>
      <c r="BM36" s="120">
        <f t="shared" si="19"/>
        <v>0.3105907996164517</v>
      </c>
      <c r="BN36" s="120">
        <f t="shared" si="19"/>
        <v>1.114114475196849E-2</v>
      </c>
      <c r="BO36" s="120">
        <f t="shared" si="19"/>
        <v>9.4990333362278984E-3</v>
      </c>
      <c r="BP36" s="120">
        <f t="shared" si="19"/>
        <v>5.0555205840621571E-3</v>
      </c>
      <c r="BQ36" s="120">
        <f t="shared" si="19"/>
        <v>0.20885965116711286</v>
      </c>
      <c r="BR36" s="120">
        <f t="shared" si="19"/>
        <v>2.784776481133535E-3</v>
      </c>
      <c r="BS36" s="120">
        <f t="shared" si="19"/>
        <v>0</v>
      </c>
      <c r="BT36" s="120">
        <f t="shared" si="19"/>
        <v>1.0232642940638666E-3</v>
      </c>
      <c r="BU36" s="120">
        <f t="shared" si="19"/>
        <v>5.2280136778906985E-2</v>
      </c>
      <c r="BV36" s="120">
        <f t="shared" si="19"/>
        <v>4.6160722287015815E-2</v>
      </c>
      <c r="BW36" s="120">
        <f t="shared" si="20"/>
        <v>3.0868777758550408E-3</v>
      </c>
      <c r="BX36" s="120">
        <f t="shared" si="20"/>
        <v>6.507296452373878E-3</v>
      </c>
      <c r="BY36" s="120">
        <f t="shared" si="20"/>
        <v>2.6522925963520159E-2</v>
      </c>
      <c r="BZ36" s="121">
        <f t="shared" si="11"/>
        <v>0.99999999999999978</v>
      </c>
      <c r="CA36" s="261">
        <f t="shared" si="29"/>
        <v>0.55532435075817499</v>
      </c>
      <c r="CB36" s="74">
        <f t="shared" si="21"/>
        <v>0</v>
      </c>
    </row>
    <row r="37" spans="1:80" x14ac:dyDescent="0.3">
      <c r="A37" s="5"/>
      <c r="B37" t="s">
        <v>117</v>
      </c>
      <c r="G37" s="187">
        <v>0</v>
      </c>
      <c r="H37" s="187">
        <v>0</v>
      </c>
      <c r="I37" s="187">
        <v>1</v>
      </c>
      <c r="J37" s="187">
        <v>1</v>
      </c>
      <c r="K37" s="187">
        <v>1</v>
      </c>
      <c r="L37" s="187">
        <v>1</v>
      </c>
      <c r="M37" s="187">
        <v>1</v>
      </c>
      <c r="N37" s="187">
        <v>1</v>
      </c>
      <c r="O37" s="187">
        <v>0</v>
      </c>
      <c r="P37" s="187">
        <v>0</v>
      </c>
      <c r="Q37" s="187">
        <v>0</v>
      </c>
      <c r="R37" s="187">
        <v>0</v>
      </c>
      <c r="S37" s="187">
        <v>0</v>
      </c>
      <c r="T37" s="187">
        <v>1</v>
      </c>
      <c r="U37" s="187">
        <v>0</v>
      </c>
      <c r="V37" s="187">
        <v>0.6</v>
      </c>
      <c r="W37" s="187">
        <v>1</v>
      </c>
      <c r="X37" s="187">
        <v>0</v>
      </c>
      <c r="Y37" s="187">
        <v>0</v>
      </c>
      <c r="Z37" s="187">
        <v>0.45</v>
      </c>
      <c r="AA37" s="187"/>
      <c r="AB37" s="5"/>
      <c r="AC37" s="5"/>
      <c r="AD37" s="5"/>
      <c r="AE37" s="5"/>
      <c r="AF37" s="5"/>
      <c r="AG37" s="187">
        <v>0</v>
      </c>
      <c r="AH37" s="187">
        <v>0</v>
      </c>
      <c r="AI37" s="187">
        <v>1</v>
      </c>
      <c r="AJ37" s="187">
        <v>1</v>
      </c>
      <c r="AK37" s="187">
        <v>1</v>
      </c>
      <c r="AL37" s="187">
        <v>1</v>
      </c>
      <c r="AM37" s="187">
        <v>1</v>
      </c>
      <c r="AN37" s="187">
        <v>1</v>
      </c>
      <c r="AO37" s="187">
        <v>0</v>
      </c>
      <c r="AP37" s="187">
        <v>0</v>
      </c>
      <c r="AQ37" s="187">
        <v>0</v>
      </c>
      <c r="AR37" s="187">
        <v>0</v>
      </c>
      <c r="AS37" s="187">
        <v>0</v>
      </c>
      <c r="AT37" s="187">
        <v>1</v>
      </c>
      <c r="AU37" s="187">
        <v>0</v>
      </c>
      <c r="AV37" s="187">
        <v>0.6</v>
      </c>
      <c r="AW37" s="187">
        <v>1</v>
      </c>
      <c r="AX37" s="187">
        <v>0</v>
      </c>
      <c r="AY37" s="187">
        <v>0</v>
      </c>
      <c r="AZ37" s="187">
        <v>0.45</v>
      </c>
      <c r="BA37" s="187">
        <v>0</v>
      </c>
      <c r="BB37" s="5"/>
      <c r="BC37" s="5"/>
      <c r="BD37" s="8"/>
      <c r="BE37" s="8"/>
      <c r="BF37" s="187">
        <f>G37</f>
        <v>0</v>
      </c>
      <c r="BG37" s="187">
        <f t="shared" ref="BG37:BV38" si="30">H37</f>
        <v>0</v>
      </c>
      <c r="BH37" s="187">
        <f t="shared" si="30"/>
        <v>1</v>
      </c>
      <c r="BI37" s="187">
        <f t="shared" si="30"/>
        <v>1</v>
      </c>
      <c r="BJ37" s="187">
        <f t="shared" si="30"/>
        <v>1</v>
      </c>
      <c r="BK37" s="187">
        <f t="shared" si="30"/>
        <v>1</v>
      </c>
      <c r="BL37" s="187">
        <f t="shared" si="30"/>
        <v>1</v>
      </c>
      <c r="BM37" s="187">
        <f t="shared" si="30"/>
        <v>1</v>
      </c>
      <c r="BN37" s="187">
        <f t="shared" si="30"/>
        <v>0</v>
      </c>
      <c r="BO37" s="187">
        <f t="shared" si="30"/>
        <v>0</v>
      </c>
      <c r="BP37" s="187">
        <f t="shared" si="30"/>
        <v>0</v>
      </c>
      <c r="BQ37" s="187">
        <f t="shared" si="30"/>
        <v>0</v>
      </c>
      <c r="BR37" s="187">
        <f t="shared" si="30"/>
        <v>0</v>
      </c>
      <c r="BS37" s="187">
        <f t="shared" si="30"/>
        <v>1</v>
      </c>
      <c r="BT37" s="187">
        <f t="shared" si="30"/>
        <v>0</v>
      </c>
      <c r="BU37" s="187">
        <f t="shared" si="30"/>
        <v>0.6</v>
      </c>
      <c r="BV37" s="187">
        <f t="shared" si="30"/>
        <v>1</v>
      </c>
      <c r="BW37" s="187">
        <f t="shared" ref="BW37:BY38" si="31">X37</f>
        <v>0</v>
      </c>
      <c r="BX37" s="187">
        <f t="shared" si="31"/>
        <v>0</v>
      </c>
      <c r="BY37" s="187">
        <f t="shared" si="31"/>
        <v>0.45</v>
      </c>
    </row>
    <row r="38" spans="1:80" x14ac:dyDescent="0.3">
      <c r="A38" s="5"/>
      <c r="G38" s="187">
        <v>0</v>
      </c>
      <c r="H38" s="187">
        <v>0</v>
      </c>
      <c r="I38" s="187">
        <v>1</v>
      </c>
      <c r="J38" s="187">
        <v>1</v>
      </c>
      <c r="K38" s="187">
        <v>1</v>
      </c>
      <c r="L38" s="187">
        <v>1</v>
      </c>
      <c r="M38" s="187">
        <v>1</v>
      </c>
      <c r="N38" s="187">
        <v>1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1</v>
      </c>
      <c r="U38" s="187">
        <v>0</v>
      </c>
      <c r="V38" s="187">
        <v>0.6</v>
      </c>
      <c r="W38" s="187">
        <v>1</v>
      </c>
      <c r="X38" s="187">
        <v>0</v>
      </c>
      <c r="Y38" s="187">
        <v>0</v>
      </c>
      <c r="Z38" s="187">
        <v>0.45</v>
      </c>
      <c r="AA38" s="187"/>
      <c r="AB38" s="5"/>
      <c r="AC38" s="5"/>
      <c r="AD38" s="5"/>
      <c r="AE38" s="5"/>
      <c r="AF38" s="5"/>
      <c r="AG38" s="187">
        <v>0</v>
      </c>
      <c r="AH38" s="187">
        <v>0</v>
      </c>
      <c r="AI38" s="187">
        <v>1</v>
      </c>
      <c r="AJ38" s="187">
        <v>1</v>
      </c>
      <c r="AK38" s="187">
        <v>1</v>
      </c>
      <c r="AL38" s="187">
        <v>1</v>
      </c>
      <c r="AM38" s="187">
        <v>1</v>
      </c>
      <c r="AN38" s="187">
        <v>1</v>
      </c>
      <c r="AO38" s="187">
        <v>0</v>
      </c>
      <c r="AP38" s="187">
        <v>0</v>
      </c>
      <c r="AQ38" s="187">
        <v>0</v>
      </c>
      <c r="AR38" s="187">
        <v>0</v>
      </c>
      <c r="AS38" s="187">
        <v>0</v>
      </c>
      <c r="AT38" s="187">
        <v>1</v>
      </c>
      <c r="AU38" s="187">
        <v>0</v>
      </c>
      <c r="AV38" s="187">
        <v>0.6</v>
      </c>
      <c r="AW38" s="187">
        <v>1</v>
      </c>
      <c r="AX38" s="187">
        <v>0</v>
      </c>
      <c r="AY38" s="187">
        <v>0</v>
      </c>
      <c r="AZ38" s="187">
        <v>0.45</v>
      </c>
      <c r="BA38" s="187">
        <v>0</v>
      </c>
      <c r="BB38" s="5"/>
      <c r="BC38" s="5"/>
      <c r="BD38" s="5"/>
      <c r="BE38" s="5"/>
      <c r="BF38" s="187">
        <f>G38</f>
        <v>0</v>
      </c>
      <c r="BG38" s="187">
        <f t="shared" si="30"/>
        <v>0</v>
      </c>
      <c r="BH38" s="187">
        <f t="shared" si="30"/>
        <v>1</v>
      </c>
      <c r="BI38" s="187">
        <f t="shared" si="30"/>
        <v>1</v>
      </c>
      <c r="BJ38" s="187">
        <f t="shared" si="30"/>
        <v>1</v>
      </c>
      <c r="BK38" s="187">
        <f t="shared" si="30"/>
        <v>1</v>
      </c>
      <c r="BL38" s="187">
        <f t="shared" si="30"/>
        <v>1</v>
      </c>
      <c r="BM38" s="187">
        <f t="shared" si="30"/>
        <v>1</v>
      </c>
      <c r="BN38" s="187">
        <f t="shared" si="30"/>
        <v>0</v>
      </c>
      <c r="BO38" s="187">
        <f t="shared" si="30"/>
        <v>0</v>
      </c>
      <c r="BP38" s="187">
        <f t="shared" si="30"/>
        <v>0</v>
      </c>
      <c r="BQ38" s="187">
        <f t="shared" si="30"/>
        <v>0</v>
      </c>
      <c r="BR38" s="187">
        <f t="shared" si="30"/>
        <v>0</v>
      </c>
      <c r="BS38" s="187">
        <f t="shared" si="30"/>
        <v>1</v>
      </c>
      <c r="BT38" s="187">
        <f t="shared" si="30"/>
        <v>0</v>
      </c>
      <c r="BU38" s="187">
        <f t="shared" si="30"/>
        <v>0.6</v>
      </c>
      <c r="BV38" s="187">
        <f t="shared" si="30"/>
        <v>1</v>
      </c>
      <c r="BW38" s="187">
        <f t="shared" si="31"/>
        <v>0</v>
      </c>
      <c r="BX38" s="187">
        <f t="shared" si="31"/>
        <v>0</v>
      </c>
      <c r="BY38" s="187">
        <f t="shared" si="31"/>
        <v>0.45</v>
      </c>
    </row>
    <row r="39" spans="1:80" s="302" customFormat="1" x14ac:dyDescent="0.3">
      <c r="A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301"/>
      <c r="BL39" s="301"/>
    </row>
    <row r="40" spans="1:80" ht="15" thickBot="1" x14ac:dyDescent="0.35">
      <c r="A40" s="5"/>
      <c r="G40" s="5"/>
      <c r="H40" s="5"/>
      <c r="I40" s="5"/>
      <c r="J40" s="5"/>
      <c r="K40" s="4"/>
      <c r="L40" s="274"/>
      <c r="M40" s="4"/>
      <c r="N40" s="4"/>
      <c r="O40" s="309"/>
      <c r="S40" s="4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80" x14ac:dyDescent="0.3">
      <c r="A41" s="57"/>
      <c r="B41" s="188"/>
      <c r="C41" s="188"/>
      <c r="D41" s="188"/>
      <c r="E41" s="188"/>
      <c r="F41" s="188"/>
      <c r="G41" s="314" t="s">
        <v>118</v>
      </c>
      <c r="H41" s="315"/>
      <c r="I41" s="315"/>
      <c r="J41" s="316"/>
      <c r="K41" s="317" t="s">
        <v>119</v>
      </c>
      <c r="L41" s="318"/>
      <c r="M41" s="318"/>
      <c r="N41" s="318"/>
      <c r="O41" s="318"/>
      <c r="P41" s="318"/>
      <c r="Q41" s="318"/>
      <c r="R41" s="318"/>
      <c r="S41" s="319"/>
      <c r="T41" s="314" t="s">
        <v>120</v>
      </c>
      <c r="U41" s="316"/>
      <c r="V41" s="357" t="s">
        <v>121</v>
      </c>
      <c r="W41" s="358"/>
      <c r="BD41" s="324" t="s">
        <v>182</v>
      </c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6"/>
    </row>
    <row r="42" spans="1:80" ht="57.6" x14ac:dyDescent="0.3">
      <c r="A42" s="17" t="s">
        <v>19</v>
      </c>
      <c r="B42" s="190" t="s">
        <v>20</v>
      </c>
      <c r="C42" s="191" t="s">
        <v>123</v>
      </c>
      <c r="D42" s="192"/>
      <c r="E42" s="192"/>
      <c r="F42" s="275" t="s">
        <v>124</v>
      </c>
      <c r="G42" s="194" t="s">
        <v>125</v>
      </c>
      <c r="H42" s="195" t="s">
        <v>126</v>
      </c>
      <c r="I42" s="276" t="s">
        <v>201</v>
      </c>
      <c r="J42" s="303" t="s">
        <v>202</v>
      </c>
      <c r="K42" s="278" t="s">
        <v>185</v>
      </c>
      <c r="L42" s="279" t="s">
        <v>186</v>
      </c>
      <c r="M42" s="279" t="s">
        <v>187</v>
      </c>
      <c r="N42" s="279" t="s">
        <v>188</v>
      </c>
      <c r="O42" s="199" t="s">
        <v>133</v>
      </c>
      <c r="P42" s="279" t="s">
        <v>189</v>
      </c>
      <c r="Q42" s="279" t="s">
        <v>190</v>
      </c>
      <c r="R42" s="279" t="s">
        <v>191</v>
      </c>
      <c r="S42" s="200" t="s">
        <v>192</v>
      </c>
      <c r="T42" s="22" t="s">
        <v>138</v>
      </c>
      <c r="U42" s="201" t="s">
        <v>139</v>
      </c>
      <c r="V42" s="202" t="s">
        <v>140</v>
      </c>
      <c r="W42" s="203" t="s">
        <v>141</v>
      </c>
      <c r="BD42" s="351" t="s">
        <v>142</v>
      </c>
      <c r="BE42" s="352"/>
      <c r="BF42" s="352"/>
      <c r="BG42" s="280" t="s">
        <v>143</v>
      </c>
      <c r="BH42" s="280" t="s">
        <v>27</v>
      </c>
      <c r="BI42" s="280" t="s">
        <v>28</v>
      </c>
      <c r="BJ42" s="280" t="s">
        <v>29</v>
      </c>
      <c r="BK42" s="280" t="s">
        <v>144</v>
      </c>
      <c r="BL42" s="280" t="s">
        <v>145</v>
      </c>
      <c r="BM42" s="280" t="s">
        <v>146</v>
      </c>
      <c r="BN42" s="280" t="s">
        <v>147</v>
      </c>
      <c r="BO42" s="280" t="s">
        <v>36</v>
      </c>
      <c r="BP42" s="280" t="s">
        <v>37</v>
      </c>
      <c r="BQ42" s="280" t="s">
        <v>148</v>
      </c>
      <c r="BR42" s="280" t="s">
        <v>149</v>
      </c>
      <c r="BS42" s="280" t="s">
        <v>44</v>
      </c>
      <c r="BT42" s="281" t="s">
        <v>150</v>
      </c>
    </row>
    <row r="43" spans="1:80" x14ac:dyDescent="0.3">
      <c r="A43" s="91">
        <v>37101</v>
      </c>
      <c r="B43" s="206" t="s">
        <v>75</v>
      </c>
      <c r="C43" s="207" t="s">
        <v>151</v>
      </c>
      <c r="D43" s="208"/>
      <c r="E43" s="208"/>
      <c r="F43" s="209">
        <v>48560579</v>
      </c>
      <c r="G43" s="221">
        <v>2</v>
      </c>
      <c r="H43" s="211">
        <v>0.15</v>
      </c>
      <c r="I43" s="282">
        <v>1.6916463986909942</v>
      </c>
      <c r="J43" s="304">
        <v>0.13957018925010034</v>
      </c>
      <c r="K43" s="212">
        <v>13.078938439417112</v>
      </c>
      <c r="L43" s="213">
        <v>16.50445224935029</v>
      </c>
      <c r="M43" s="213">
        <v>0</v>
      </c>
      <c r="N43" s="213">
        <v>0.14387649177720643</v>
      </c>
      <c r="O43" s="213">
        <v>0</v>
      </c>
      <c r="P43" s="213">
        <v>0</v>
      </c>
      <c r="Q43" s="213">
        <v>0</v>
      </c>
      <c r="R43" s="294">
        <f t="shared" ref="R43:R56" si="32">SUM(K43:Q43)</f>
        <v>29.727267180544608</v>
      </c>
      <c r="S43" s="240"/>
      <c r="T43" s="214">
        <f t="shared" ref="T43:T56" si="33">AE5*1000/(R43*1000000)</f>
        <v>3.5464235404057267</v>
      </c>
      <c r="U43" s="215">
        <f t="shared" ref="U43:U56" si="34">AE23*1000/(R43*1000000)</f>
        <v>0.12657083218454349</v>
      </c>
      <c r="V43" s="216"/>
      <c r="W43" s="215"/>
      <c r="BD43" s="217">
        <f t="shared" ref="BD43:BE51" si="35">BD5</f>
        <v>37101</v>
      </c>
      <c r="BE43" t="str">
        <f t="shared" si="35"/>
        <v>Tochten ABC1</v>
      </c>
      <c r="BF43" s="204"/>
      <c r="BG43" s="90">
        <f>BF5+BG5</f>
        <v>8.4414112840263469E-2</v>
      </c>
      <c r="BH43" s="90">
        <f t="shared" ref="BH43:BM51" si="36">BH5</f>
        <v>7.6027084371799647E-3</v>
      </c>
      <c r="BI43" s="90">
        <f t="shared" si="36"/>
        <v>2.0895537871893038E-4</v>
      </c>
      <c r="BJ43" s="90">
        <f t="shared" si="36"/>
        <v>5.1236413011994532E-2</v>
      </c>
      <c r="BK43" s="90">
        <f t="shared" si="36"/>
        <v>2.4329273978946141E-2</v>
      </c>
      <c r="BL43" s="90">
        <f t="shared" si="36"/>
        <v>0.17530759901095824</v>
      </c>
      <c r="BM43" s="90">
        <f t="shared" si="36"/>
        <v>0.59688034444874927</v>
      </c>
      <c r="BN43" s="90">
        <f>BN5+BO5+BP5</f>
        <v>1.2944055718446913E-2</v>
      </c>
      <c r="BO43" s="90">
        <f t="shared" ref="BO43:BQ51" si="37">BQ5</f>
        <v>0</v>
      </c>
      <c r="BP43" s="90">
        <f t="shared" si="37"/>
        <v>0</v>
      </c>
      <c r="BQ43" s="90">
        <f t="shared" si="37"/>
        <v>4.2095259889042176E-2</v>
      </c>
      <c r="BR43" s="90">
        <f t="shared" ref="BR43:BR51" si="38">BU5</f>
        <v>3.1963622946690191E-3</v>
      </c>
      <c r="BS43" s="90">
        <f t="shared" ref="BS43:BS51" si="39">BY5</f>
        <v>0</v>
      </c>
      <c r="BT43" s="218">
        <f t="shared" ref="BT43:BT51" si="40">BT5+BV5+BW5+BX5</f>
        <v>1.784914991031175E-3</v>
      </c>
      <c r="BU43" s="90">
        <f>SUM(BG43:BT43)</f>
        <v>0.99999999999999978</v>
      </c>
    </row>
    <row r="44" spans="1:80" x14ac:dyDescent="0.3">
      <c r="A44" s="91">
        <v>37102</v>
      </c>
      <c r="B44" s="206" t="s">
        <v>77</v>
      </c>
      <c r="C44" s="207" t="s">
        <v>152</v>
      </c>
      <c r="D44" s="208"/>
      <c r="E44" s="208"/>
      <c r="F44" s="209">
        <v>104548911</v>
      </c>
      <c r="G44" s="221">
        <v>2.4</v>
      </c>
      <c r="H44" s="211">
        <v>0.15</v>
      </c>
      <c r="I44" s="282">
        <v>2.7564230008450292</v>
      </c>
      <c r="J44" s="304">
        <v>0.10410628523905514</v>
      </c>
      <c r="K44" s="219">
        <v>34.946876942366714</v>
      </c>
      <c r="L44" s="220">
        <v>30.393231977798262</v>
      </c>
      <c r="M44" s="220">
        <v>0</v>
      </c>
      <c r="N44" s="220">
        <v>0.28021787892653116</v>
      </c>
      <c r="O44" s="220">
        <v>0</v>
      </c>
      <c r="P44" s="220">
        <v>0</v>
      </c>
      <c r="Q44" s="220">
        <v>29.727267180544608</v>
      </c>
      <c r="R44" s="305">
        <f t="shared" si="32"/>
        <v>95.347593979636116</v>
      </c>
      <c r="S44" s="240"/>
      <c r="T44" s="210">
        <f t="shared" si="33"/>
        <v>4.8555364896923017</v>
      </c>
      <c r="U44" s="215">
        <f t="shared" si="34"/>
        <v>0.11870254437316829</v>
      </c>
      <c r="V44" s="221"/>
      <c r="W44" s="215"/>
      <c r="BD44" s="217">
        <f t="shared" si="35"/>
        <v>37102</v>
      </c>
      <c r="BE44" t="str">
        <f t="shared" si="35"/>
        <v>Tochten ABC2</v>
      </c>
      <c r="BF44" s="204"/>
      <c r="BG44" s="90">
        <f>BF6+BG6</f>
        <v>0.12093996280212335</v>
      </c>
      <c r="BH44" s="90">
        <f t="shared" si="36"/>
        <v>2.3942633181762121E-2</v>
      </c>
      <c r="BI44" s="90">
        <f t="shared" si="36"/>
        <v>2.024880554245152E-4</v>
      </c>
      <c r="BJ44" s="90">
        <f t="shared" si="36"/>
        <v>9.861332506218394E-2</v>
      </c>
      <c r="BK44" s="90">
        <f t="shared" si="36"/>
        <v>6.5748727906541043E-2</v>
      </c>
      <c r="BL44" s="90">
        <f t="shared" si="36"/>
        <v>5.7496201871086762E-2</v>
      </c>
      <c r="BM44" s="90">
        <f t="shared" si="36"/>
        <v>0.58161269358306056</v>
      </c>
      <c r="BN44" s="90">
        <f>BN6+BO6+BP6</f>
        <v>1.1251420498695895E-2</v>
      </c>
      <c r="BO44" s="90">
        <f t="shared" si="37"/>
        <v>0</v>
      </c>
      <c r="BP44" s="90">
        <f t="shared" si="37"/>
        <v>0</v>
      </c>
      <c r="BQ44" s="90">
        <f t="shared" si="37"/>
        <v>3.6100212395211974E-2</v>
      </c>
      <c r="BR44" s="90">
        <f t="shared" si="38"/>
        <v>2.6000270449853579E-3</v>
      </c>
      <c r="BS44" s="90">
        <f t="shared" si="39"/>
        <v>0</v>
      </c>
      <c r="BT44" s="218">
        <f t="shared" si="40"/>
        <v>1.4923075989245168E-3</v>
      </c>
      <c r="BU44" s="90">
        <f t="shared" ref="BU44:BU55" si="41">SUM(BG44:BT44)</f>
        <v>1</v>
      </c>
    </row>
    <row r="45" spans="1:80" x14ac:dyDescent="0.3">
      <c r="A45" s="91">
        <v>37103</v>
      </c>
      <c r="B45" s="206" t="s">
        <v>79</v>
      </c>
      <c r="C45" s="207" t="s">
        <v>153</v>
      </c>
      <c r="D45" s="208"/>
      <c r="E45" s="208"/>
      <c r="F45" s="209">
        <v>76103528</v>
      </c>
      <c r="G45" s="221">
        <v>4</v>
      </c>
      <c r="H45" s="211">
        <v>0.3</v>
      </c>
      <c r="I45" s="282">
        <v>1.4433333333333334</v>
      </c>
      <c r="J45" s="304">
        <v>9.0208333333333335E-2</v>
      </c>
      <c r="K45" s="219">
        <v>24.502087997823171</v>
      </c>
      <c r="L45" s="220">
        <v>1.0143108721733094</v>
      </c>
      <c r="M45" s="220">
        <v>0</v>
      </c>
      <c r="N45" s="220">
        <v>9.2430796824460142</v>
      </c>
      <c r="O45" s="220">
        <v>0</v>
      </c>
      <c r="P45" s="220">
        <v>0.34242119815668004</v>
      </c>
      <c r="Q45" s="220">
        <v>0</v>
      </c>
      <c r="R45" s="305">
        <f t="shared" si="32"/>
        <v>35.101899750599173</v>
      </c>
      <c r="S45" s="240"/>
      <c r="T45" s="210">
        <f t="shared" si="33"/>
        <v>1.8620780245887978</v>
      </c>
      <c r="U45" s="215">
        <f t="shared" si="34"/>
        <v>0.14893313024405436</v>
      </c>
      <c r="V45" s="221"/>
      <c r="W45" s="215"/>
      <c r="BD45" s="217">
        <f t="shared" si="35"/>
        <v>37103</v>
      </c>
      <c r="BE45" s="10" t="str">
        <f t="shared" si="35"/>
        <v>Tochten DE Almere</v>
      </c>
      <c r="BF45" s="90"/>
      <c r="BG45" s="90">
        <f>BF7+BG7</f>
        <v>9.2700474486861265E-2</v>
      </c>
      <c r="BH45" s="90">
        <f t="shared" si="36"/>
        <v>2.2240340242204823E-2</v>
      </c>
      <c r="BI45" s="90">
        <f t="shared" si="36"/>
        <v>8.4374867028926345E-5</v>
      </c>
      <c r="BJ45" s="90">
        <f t="shared" si="36"/>
        <v>0.1020812025215239</v>
      </c>
      <c r="BK45" s="90">
        <f t="shared" si="36"/>
        <v>3.5349370304822464E-2</v>
      </c>
      <c r="BL45" s="90">
        <f t="shared" si="36"/>
        <v>0.30000255449649915</v>
      </c>
      <c r="BM45" s="90">
        <f t="shared" si="36"/>
        <v>6.8069751364581474E-2</v>
      </c>
      <c r="BN45" s="90">
        <f>BN7+BO7+BP7</f>
        <v>9.2937655349013999E-3</v>
      </c>
      <c r="BO45" s="90">
        <f t="shared" si="37"/>
        <v>0</v>
      </c>
      <c r="BP45" s="90">
        <f t="shared" si="37"/>
        <v>0</v>
      </c>
      <c r="BQ45" s="90">
        <f t="shared" si="37"/>
        <v>0.13796159551600401</v>
      </c>
      <c r="BR45" s="90">
        <f t="shared" si="38"/>
        <v>0.20051088644757126</v>
      </c>
      <c r="BS45" s="90">
        <f t="shared" si="39"/>
        <v>4.1620168080079194E-3</v>
      </c>
      <c r="BT45" s="218">
        <f t="shared" si="40"/>
        <v>2.7543667409993353E-2</v>
      </c>
      <c r="BU45" s="90">
        <f t="shared" si="41"/>
        <v>1</v>
      </c>
    </row>
    <row r="46" spans="1:80" x14ac:dyDescent="0.3">
      <c r="A46" s="91">
        <v>37104</v>
      </c>
      <c r="B46" s="206" t="s">
        <v>81</v>
      </c>
      <c r="C46" s="207" t="s">
        <v>153</v>
      </c>
      <c r="D46" s="208"/>
      <c r="E46" s="208"/>
      <c r="F46" s="209">
        <v>96481056</v>
      </c>
      <c r="G46" s="221">
        <v>4</v>
      </c>
      <c r="H46" s="211">
        <v>0.3</v>
      </c>
      <c r="I46" s="282">
        <v>6.8874642857142856</v>
      </c>
      <c r="J46" s="304">
        <v>0.26465476190476195</v>
      </c>
      <c r="K46" s="219">
        <v>24.975986835027335</v>
      </c>
      <c r="L46" s="220">
        <v>7.5120309973963844</v>
      </c>
      <c r="M46" s="220">
        <v>0</v>
      </c>
      <c r="N46" s="220">
        <v>3.6770832008596361</v>
      </c>
      <c r="O46" s="220">
        <v>0</v>
      </c>
      <c r="P46" s="220">
        <v>0</v>
      </c>
      <c r="Q46" s="220">
        <v>0</v>
      </c>
      <c r="R46" s="305">
        <f t="shared" si="32"/>
        <v>36.165101033283356</v>
      </c>
      <c r="S46" s="240"/>
      <c r="T46" s="210">
        <f t="shared" si="33"/>
        <v>3.8619901424136494</v>
      </c>
      <c r="U46" s="215">
        <f t="shared" si="34"/>
        <v>0.1177508728355711</v>
      </c>
      <c r="V46" s="221"/>
      <c r="W46" s="215"/>
      <c r="BD46" s="217">
        <f t="shared" si="35"/>
        <v>37104</v>
      </c>
      <c r="BE46" s="10" t="str">
        <f t="shared" si="35"/>
        <v>Tochten DE Zuidlob</v>
      </c>
      <c r="BF46" s="90"/>
      <c r="BG46" s="90">
        <f t="shared" ref="BG46:BG51" si="42">BF8+BG8</f>
        <v>0.1394618287798533</v>
      </c>
      <c r="BH46" s="90">
        <f t="shared" si="36"/>
        <v>4.6156745670573214E-2</v>
      </c>
      <c r="BI46" s="90">
        <f t="shared" si="36"/>
        <v>1.4648002535614497E-4</v>
      </c>
      <c r="BJ46" s="90">
        <f t="shared" si="36"/>
        <v>5.8478877332954572E-2</v>
      </c>
      <c r="BK46" s="90">
        <f t="shared" si="36"/>
        <v>0.11819803746503486</v>
      </c>
      <c r="BL46" s="90">
        <f t="shared" si="36"/>
        <v>0.11290481953142507</v>
      </c>
      <c r="BM46" s="90">
        <f t="shared" si="36"/>
        <v>0.35608956986172041</v>
      </c>
      <c r="BN46" s="90">
        <f t="shared" ref="BN46:BN51" si="43">BN8+BO8+BP8</f>
        <v>1.9306509641930637E-2</v>
      </c>
      <c r="BO46" s="90">
        <f t="shared" si="37"/>
        <v>0</v>
      </c>
      <c r="BP46" s="90">
        <f t="shared" si="37"/>
        <v>0</v>
      </c>
      <c r="BQ46" s="90">
        <f t="shared" si="37"/>
        <v>7.684758984368345E-2</v>
      </c>
      <c r="BR46" s="90">
        <f t="shared" si="38"/>
        <v>7.0845770150558846E-2</v>
      </c>
      <c r="BS46" s="90">
        <f t="shared" si="39"/>
        <v>0</v>
      </c>
      <c r="BT46" s="218">
        <f t="shared" si="40"/>
        <v>1.5637716969094757E-3</v>
      </c>
      <c r="BU46" s="90">
        <f t="shared" si="41"/>
        <v>0.99999999999999989</v>
      </c>
    </row>
    <row r="47" spans="1:80" x14ac:dyDescent="0.3">
      <c r="A47" s="91">
        <v>37105</v>
      </c>
      <c r="B47" s="206" t="s">
        <v>83</v>
      </c>
      <c r="C47" s="207" t="s">
        <v>154</v>
      </c>
      <c r="D47" s="208"/>
      <c r="E47" s="208"/>
      <c r="F47" s="209">
        <v>153247495</v>
      </c>
      <c r="G47" s="221">
        <v>2.5</v>
      </c>
      <c r="H47" s="211">
        <v>0.22</v>
      </c>
      <c r="I47" s="282">
        <v>3.4108035714285712</v>
      </c>
      <c r="J47" s="304">
        <v>0.13974537037037038</v>
      </c>
      <c r="K47" s="219">
        <v>51.880611629221349</v>
      </c>
      <c r="L47" s="220">
        <v>25.5625718900774</v>
      </c>
      <c r="M47" s="220">
        <v>0</v>
      </c>
      <c r="N47" s="220">
        <v>4.2665541889502325</v>
      </c>
      <c r="O47" s="220">
        <v>0</v>
      </c>
      <c r="P47" s="220">
        <v>0.29734712657571433</v>
      </c>
      <c r="Q47" s="220">
        <v>1.9042295390466248</v>
      </c>
      <c r="R47" s="305">
        <f t="shared" si="32"/>
        <v>83.911314373871321</v>
      </c>
      <c r="S47" s="240"/>
      <c r="T47" s="210">
        <f t="shared" si="33"/>
        <v>4.5417589393873259</v>
      </c>
      <c r="U47" s="215">
        <f t="shared" si="34"/>
        <v>0.13648888636658757</v>
      </c>
      <c r="V47" s="221"/>
      <c r="W47" s="215"/>
      <c r="BD47" s="217">
        <f t="shared" si="35"/>
        <v>37105</v>
      </c>
      <c r="BE47" s="10" t="str">
        <f t="shared" si="35"/>
        <v>Tochten FGIK</v>
      </c>
      <c r="BF47" s="90"/>
      <c r="BG47" s="90">
        <f t="shared" si="42"/>
        <v>0.1440279635234768</v>
      </c>
      <c r="BH47" s="90">
        <f t="shared" si="36"/>
        <v>7.1155552317980417E-2</v>
      </c>
      <c r="BI47" s="90">
        <f t="shared" si="36"/>
        <v>1.294212583023493E-4</v>
      </c>
      <c r="BJ47" s="90">
        <f t="shared" si="36"/>
        <v>5.2391417740335539E-2</v>
      </c>
      <c r="BK47" s="90">
        <f t="shared" si="36"/>
        <v>0.11307254030978153</v>
      </c>
      <c r="BL47" s="90">
        <f t="shared" si="36"/>
        <v>3.8234765471976344E-2</v>
      </c>
      <c r="BM47" s="90">
        <f t="shared" si="36"/>
        <v>0.50931569223881012</v>
      </c>
      <c r="BN47" s="90">
        <f t="shared" si="43"/>
        <v>1.3878300243239694E-2</v>
      </c>
      <c r="BO47" s="90">
        <f t="shared" si="37"/>
        <v>1.6024933845400091E-4</v>
      </c>
      <c r="BP47" s="90">
        <f t="shared" si="37"/>
        <v>0</v>
      </c>
      <c r="BQ47" s="90">
        <f t="shared" si="37"/>
        <v>2.0865537350882566E-2</v>
      </c>
      <c r="BR47" s="90">
        <f t="shared" si="38"/>
        <v>3.1766226050600394E-2</v>
      </c>
      <c r="BS47" s="90">
        <f t="shared" si="39"/>
        <v>1.9129796301584718E-3</v>
      </c>
      <c r="BT47" s="218">
        <f t="shared" si="40"/>
        <v>3.0893545260018691E-3</v>
      </c>
      <c r="BU47" s="90">
        <f t="shared" si="41"/>
        <v>1.0000000000000002</v>
      </c>
    </row>
    <row r="48" spans="1:80" x14ac:dyDescent="0.3">
      <c r="A48" s="91">
        <v>37106</v>
      </c>
      <c r="B48" s="206" t="s">
        <v>85</v>
      </c>
      <c r="C48" s="207" t="s">
        <v>154</v>
      </c>
      <c r="D48" s="208"/>
      <c r="E48" s="208"/>
      <c r="F48" s="209">
        <v>68508287</v>
      </c>
      <c r="G48" s="221">
        <v>2.5</v>
      </c>
      <c r="H48" s="211">
        <v>0.22</v>
      </c>
      <c r="I48" s="282">
        <v>5.2664877344877352</v>
      </c>
      <c r="J48" s="304">
        <v>0.13177248677248679</v>
      </c>
      <c r="K48" s="219">
        <v>28.812512346241196</v>
      </c>
      <c r="L48" s="220">
        <v>0.66166709479111441</v>
      </c>
      <c r="M48" s="220">
        <v>0</v>
      </c>
      <c r="N48" s="220">
        <v>9.5098120257408658E-2</v>
      </c>
      <c r="O48" s="220">
        <v>0</v>
      </c>
      <c r="P48" s="220">
        <v>0</v>
      </c>
      <c r="Q48" s="220">
        <v>0.92009949133738389</v>
      </c>
      <c r="R48" s="305">
        <f t="shared" si="32"/>
        <v>30.489377052627102</v>
      </c>
      <c r="S48" s="240"/>
      <c r="T48" s="210">
        <f t="shared" si="33"/>
        <v>2.8527910535181911</v>
      </c>
      <c r="U48" s="215">
        <f t="shared" si="34"/>
        <v>8.1670751976548564E-2</v>
      </c>
      <c r="V48" s="221"/>
      <c r="W48" s="215"/>
      <c r="BD48" s="217">
        <f t="shared" si="35"/>
        <v>37106</v>
      </c>
      <c r="BE48" s="10" t="str">
        <f t="shared" si="35"/>
        <v>Tochten FGIK ZUID</v>
      </c>
      <c r="BF48" s="90"/>
      <c r="BG48" s="90">
        <f t="shared" si="42"/>
        <v>0.44366644895058527</v>
      </c>
      <c r="BH48" s="90">
        <f t="shared" si="36"/>
        <v>7.7898607857159921E-2</v>
      </c>
      <c r="BI48" s="90">
        <f t="shared" si="36"/>
        <v>1.19874317316474E-4</v>
      </c>
      <c r="BJ48" s="90">
        <f t="shared" si="36"/>
        <v>6.0873675969108719E-2</v>
      </c>
      <c r="BK48" s="90">
        <f t="shared" si="36"/>
        <v>0.17742167214704163</v>
      </c>
      <c r="BL48" s="90">
        <f t="shared" si="36"/>
        <v>7.597607345263567E-2</v>
      </c>
      <c r="BM48" s="90">
        <f t="shared" si="36"/>
        <v>9.6215877182347836E-2</v>
      </c>
      <c r="BN48" s="90">
        <f t="shared" si="43"/>
        <v>3.5764628056307146E-2</v>
      </c>
      <c r="BO48" s="90">
        <f t="shared" si="37"/>
        <v>3.3405494044025109E-4</v>
      </c>
      <c r="BP48" s="90">
        <f t="shared" si="37"/>
        <v>0</v>
      </c>
      <c r="BQ48" s="90">
        <f t="shared" si="37"/>
        <v>2.4179050941407008E-2</v>
      </c>
      <c r="BR48" s="90">
        <f t="shared" si="38"/>
        <v>3.6051910527181274E-3</v>
      </c>
      <c r="BS48" s="90">
        <f t="shared" si="39"/>
        <v>2.1122454959132141E-3</v>
      </c>
      <c r="BT48" s="218">
        <f t="shared" si="40"/>
        <v>1.8325996370186252E-3</v>
      </c>
      <c r="BU48" s="90">
        <f t="shared" si="41"/>
        <v>1</v>
      </c>
    </row>
    <row r="49" spans="1:73" x14ac:dyDescent="0.3">
      <c r="A49" s="91">
        <v>37107</v>
      </c>
      <c r="B49" s="206" t="s">
        <v>87</v>
      </c>
      <c r="C49" s="207" t="s">
        <v>155</v>
      </c>
      <c r="D49" s="208"/>
      <c r="E49" s="208"/>
      <c r="F49" s="209">
        <v>82260987</v>
      </c>
      <c r="G49" s="221">
        <v>2.4</v>
      </c>
      <c r="H49" s="211">
        <v>0.22</v>
      </c>
      <c r="I49" s="282">
        <v>3.2835863095238094</v>
      </c>
      <c r="J49" s="304">
        <v>7.0401785714285695E-2</v>
      </c>
      <c r="K49" s="219">
        <v>23.760474225240195</v>
      </c>
      <c r="L49" s="220">
        <v>17.571838378939919</v>
      </c>
      <c r="M49" s="220">
        <v>0</v>
      </c>
      <c r="N49" s="220">
        <v>7.5245484520315611E-2</v>
      </c>
      <c r="O49" s="220">
        <v>0</v>
      </c>
      <c r="P49" s="220">
        <v>0</v>
      </c>
      <c r="Q49" s="220">
        <v>19.94537912649178</v>
      </c>
      <c r="R49" s="305">
        <f t="shared" si="32"/>
        <v>61.352937215192213</v>
      </c>
      <c r="S49" s="240"/>
      <c r="T49" s="210">
        <f t="shared" si="33"/>
        <v>5.9557101743435901</v>
      </c>
      <c r="U49" s="215">
        <f t="shared" si="34"/>
        <v>0.12114763037297668</v>
      </c>
      <c r="V49" s="221"/>
      <c r="W49" s="215"/>
      <c r="BD49" s="217">
        <f t="shared" si="35"/>
        <v>37107</v>
      </c>
      <c r="BE49" s="10" t="str">
        <f t="shared" si="35"/>
        <v>Tochten H</v>
      </c>
      <c r="BF49" s="90"/>
      <c r="BG49" s="90">
        <f t="shared" si="42"/>
        <v>0.10815776415404593</v>
      </c>
      <c r="BH49" s="90">
        <f t="shared" si="36"/>
        <v>5.1847462033863638E-2</v>
      </c>
      <c r="BI49" s="90">
        <f t="shared" si="36"/>
        <v>8.903985992398243E-5</v>
      </c>
      <c r="BJ49" s="90">
        <f t="shared" si="36"/>
        <v>2.3421382852368323E-2</v>
      </c>
      <c r="BK49" s="90">
        <f t="shared" si="36"/>
        <v>8.3428994221345865E-2</v>
      </c>
      <c r="BL49" s="90">
        <f t="shared" si="36"/>
        <v>1.2088765195514986E-2</v>
      </c>
      <c r="BM49" s="90">
        <f t="shared" si="36"/>
        <v>0.67470977080780947</v>
      </c>
      <c r="BN49" s="90">
        <f t="shared" si="43"/>
        <v>1.2384214087521545E-2</v>
      </c>
      <c r="BO49" s="90">
        <f t="shared" si="37"/>
        <v>2.0734140902077965E-3</v>
      </c>
      <c r="BP49" s="90">
        <f t="shared" si="37"/>
        <v>0</v>
      </c>
      <c r="BQ49" s="90">
        <f t="shared" si="37"/>
        <v>1.355546709176075E-2</v>
      </c>
      <c r="BR49" s="90">
        <f t="shared" si="38"/>
        <v>4.5586226414849537E-3</v>
      </c>
      <c r="BS49" s="90">
        <f t="shared" si="39"/>
        <v>1.1558006042306576E-2</v>
      </c>
      <c r="BT49" s="218">
        <f t="shared" si="40"/>
        <v>2.1270969218461834E-3</v>
      </c>
      <c r="BU49" s="90">
        <f t="shared" si="41"/>
        <v>1</v>
      </c>
    </row>
    <row r="50" spans="1:73" x14ac:dyDescent="0.3">
      <c r="A50" s="91">
        <v>37108</v>
      </c>
      <c r="B50" s="206" t="s">
        <v>156</v>
      </c>
      <c r="C50" s="207" t="s">
        <v>157</v>
      </c>
      <c r="D50" s="208"/>
      <c r="E50" s="208"/>
      <c r="F50" s="209">
        <v>124006221</v>
      </c>
      <c r="G50" s="221">
        <v>5</v>
      </c>
      <c r="H50" s="211">
        <v>0.27</v>
      </c>
      <c r="I50" s="282">
        <v>7.563895938872002</v>
      </c>
      <c r="J50" s="304">
        <v>0.23260471546774733</v>
      </c>
      <c r="K50" s="219">
        <v>57.528164019474438</v>
      </c>
      <c r="L50" s="220">
        <v>13.747464731304886</v>
      </c>
      <c r="M50" s="220">
        <v>0</v>
      </c>
      <c r="N50" s="220">
        <v>2.7461992171798504</v>
      </c>
      <c r="O50" s="220">
        <v>0</v>
      </c>
      <c r="P50" s="220">
        <v>0.13714285714285709</v>
      </c>
      <c r="Q50" s="220">
        <v>0</v>
      </c>
      <c r="R50" s="305">
        <f t="shared" si="32"/>
        <v>74.158970825102031</v>
      </c>
      <c r="S50" s="240"/>
      <c r="T50" s="210">
        <f t="shared" si="33"/>
        <v>5.5869687184059744</v>
      </c>
      <c r="U50" s="215">
        <f t="shared" si="34"/>
        <v>0.10656007711938448</v>
      </c>
      <c r="V50" s="221"/>
      <c r="W50" s="215"/>
      <c r="BD50" s="217">
        <f t="shared" si="35"/>
        <v>37108</v>
      </c>
      <c r="BE50" s="10" t="str">
        <f t="shared" si="35"/>
        <v>Tochten J</v>
      </c>
      <c r="BF50" s="90"/>
      <c r="BG50" s="90">
        <f t="shared" si="42"/>
        <v>0.2127580231719606</v>
      </c>
      <c r="BH50" s="90">
        <f t="shared" si="36"/>
        <v>4.9481773856381583E-2</v>
      </c>
      <c r="BI50" s="90">
        <f t="shared" si="36"/>
        <v>2.2741929943609772E-4</v>
      </c>
      <c r="BJ50" s="90">
        <f t="shared" si="36"/>
        <v>0.11182885741124812</v>
      </c>
      <c r="BK50" s="90">
        <f t="shared" si="36"/>
        <v>7.1005964217235318E-2</v>
      </c>
      <c r="BL50" s="90">
        <f t="shared" si="36"/>
        <v>3.6843142864935306E-2</v>
      </c>
      <c r="BM50" s="90">
        <f t="shared" si="36"/>
        <v>0.4593333730014863</v>
      </c>
      <c r="BN50" s="90">
        <f t="shared" si="43"/>
        <v>1.1996514769585674E-2</v>
      </c>
      <c r="BO50" s="90">
        <f t="shared" si="37"/>
        <v>0</v>
      </c>
      <c r="BP50" s="90">
        <f t="shared" si="37"/>
        <v>0</v>
      </c>
      <c r="BQ50" s="90">
        <f t="shared" si="37"/>
        <v>2.3266804513095232E-2</v>
      </c>
      <c r="BR50" s="90">
        <f t="shared" si="38"/>
        <v>2.0426419984308896E-2</v>
      </c>
      <c r="BS50" s="90">
        <f t="shared" si="39"/>
        <v>5.1387630661478816E-4</v>
      </c>
      <c r="BT50" s="218">
        <f t="shared" si="40"/>
        <v>2.3178306037121444E-3</v>
      </c>
      <c r="BU50" s="90">
        <f t="shared" si="41"/>
        <v>1</v>
      </c>
    </row>
    <row r="51" spans="1:73" x14ac:dyDescent="0.3">
      <c r="A51" s="91">
        <v>37109</v>
      </c>
      <c r="B51" s="206" t="s">
        <v>91</v>
      </c>
      <c r="C51" s="207" t="s">
        <v>158</v>
      </c>
      <c r="D51" s="208"/>
      <c r="E51" s="208"/>
      <c r="F51" s="209">
        <v>365755051</v>
      </c>
      <c r="G51" s="221">
        <v>3.5</v>
      </c>
      <c r="H51" s="211">
        <v>0.22</v>
      </c>
      <c r="I51" s="282">
        <v>5.0154777715966974</v>
      </c>
      <c r="J51" s="304">
        <v>0.12404192009098554</v>
      </c>
      <c r="K51" s="219">
        <v>154.2775679180798</v>
      </c>
      <c r="L51" s="220">
        <v>40.441399411763875</v>
      </c>
      <c r="M51" s="220">
        <v>0</v>
      </c>
      <c r="N51" s="220">
        <v>0.61763540089246283</v>
      </c>
      <c r="O51" s="220">
        <v>0</v>
      </c>
      <c r="P51" s="220">
        <v>73.237972328571345</v>
      </c>
      <c r="Q51" s="220">
        <v>8.0351680209572454</v>
      </c>
      <c r="R51" s="305">
        <f t="shared" si="32"/>
        <v>276.60974308026471</v>
      </c>
      <c r="S51" s="240"/>
      <c r="T51" s="210">
        <f t="shared" si="33"/>
        <v>4.8128004803905666</v>
      </c>
      <c r="U51" s="215">
        <f t="shared" si="34"/>
        <v>0.12045891813403266</v>
      </c>
      <c r="V51" s="221"/>
      <c r="W51" s="215"/>
      <c r="BD51" s="217">
        <f t="shared" si="35"/>
        <v>37109</v>
      </c>
      <c r="BE51" s="10" t="str">
        <f t="shared" si="35"/>
        <v>Tochten lage afdeling NOP</v>
      </c>
      <c r="BF51" s="90"/>
      <c r="BG51" s="90">
        <f t="shared" si="42"/>
        <v>0.35028330864793222</v>
      </c>
      <c r="BH51" s="90">
        <f t="shared" si="36"/>
        <v>3.6952976501768417E-2</v>
      </c>
      <c r="BI51" s="90">
        <f t="shared" si="36"/>
        <v>4.7284372066680252E-4</v>
      </c>
      <c r="BJ51" s="90">
        <f t="shared" si="36"/>
        <v>0.16167265553592544</v>
      </c>
      <c r="BK51" s="90">
        <f t="shared" si="36"/>
        <v>8.8137363914665104E-2</v>
      </c>
      <c r="BL51" s="90">
        <f t="shared" si="36"/>
        <v>1.5248060144209322E-2</v>
      </c>
      <c r="BM51" s="90">
        <f t="shared" si="36"/>
        <v>0.16761335036030359</v>
      </c>
      <c r="BN51" s="90">
        <f t="shared" si="43"/>
        <v>1.9471349548291047E-2</v>
      </c>
      <c r="BO51" s="90">
        <f t="shared" si="37"/>
        <v>0</v>
      </c>
      <c r="BP51" s="90">
        <f t="shared" si="37"/>
        <v>0</v>
      </c>
      <c r="BQ51" s="90">
        <f t="shared" si="37"/>
        <v>1.0597854527374939E-2</v>
      </c>
      <c r="BR51" s="90">
        <f t="shared" si="38"/>
        <v>1.4558273340286941E-3</v>
      </c>
      <c r="BS51" s="90">
        <f t="shared" si="39"/>
        <v>0.14628693873310969</v>
      </c>
      <c r="BT51" s="218">
        <f t="shared" si="40"/>
        <v>1.8074710317247012E-3</v>
      </c>
      <c r="BU51" s="90">
        <f t="shared" si="41"/>
        <v>1</v>
      </c>
    </row>
    <row r="52" spans="1:73" x14ac:dyDescent="0.3">
      <c r="A52" s="91">
        <v>37110</v>
      </c>
      <c r="B52" s="206" t="s">
        <v>93</v>
      </c>
      <c r="C52" s="207" t="s">
        <v>159</v>
      </c>
      <c r="D52" s="208"/>
      <c r="E52" s="208"/>
      <c r="F52" s="209">
        <v>69707994</v>
      </c>
      <c r="G52" s="221">
        <v>9</v>
      </c>
      <c r="H52" s="211">
        <v>2</v>
      </c>
      <c r="I52" s="282">
        <v>0</v>
      </c>
      <c r="J52" s="304">
        <v>0</v>
      </c>
      <c r="K52" s="219">
        <v>12.720890771578491</v>
      </c>
      <c r="L52" s="220">
        <v>6.9009674883931879E-2</v>
      </c>
      <c r="M52" s="220">
        <v>0</v>
      </c>
      <c r="N52" s="220">
        <v>3.6570814266486722</v>
      </c>
      <c r="O52" s="220">
        <v>0</v>
      </c>
      <c r="P52" s="220">
        <v>0</v>
      </c>
      <c r="Q52" s="220">
        <v>0</v>
      </c>
      <c r="R52" s="305">
        <f t="shared" si="32"/>
        <v>16.446981873111095</v>
      </c>
      <c r="S52" s="240"/>
      <c r="T52" s="210">
        <f t="shared" si="33"/>
        <v>0.57717901851068965</v>
      </c>
      <c r="U52" s="215">
        <f t="shared" si="34"/>
        <v>0.24871696730633955</v>
      </c>
      <c r="V52" s="221"/>
      <c r="W52" s="215"/>
      <c r="BD52" s="217">
        <f t="shared" ref="BD52:BE55" si="44">BD15</f>
        <v>37111</v>
      </c>
      <c r="BE52" s="10" t="str">
        <f t="shared" si="44"/>
        <v>Tochten hoge afdeling NOP</v>
      </c>
      <c r="BF52" s="90"/>
      <c r="BG52" s="90">
        <f>BF15+BG15</f>
        <v>0.30827705747441081</v>
      </c>
      <c r="BH52" s="90">
        <f t="shared" ref="BH52:BM55" si="45">BH15</f>
        <v>4.8188658898750354E-2</v>
      </c>
      <c r="BI52" s="90">
        <f t="shared" si="45"/>
        <v>6.0707285871759178E-4</v>
      </c>
      <c r="BJ52" s="90">
        <f t="shared" si="45"/>
        <v>0.10118247211748849</v>
      </c>
      <c r="BK52" s="90">
        <f t="shared" si="45"/>
        <v>6.5882649593832332E-2</v>
      </c>
      <c r="BL52" s="90">
        <f t="shared" si="45"/>
        <v>1.3591609884712256E-2</v>
      </c>
      <c r="BM52" s="90">
        <f t="shared" si="45"/>
        <v>0.18532392764935046</v>
      </c>
      <c r="BN52" s="90">
        <f>BN15+BO15+BP15</f>
        <v>2.3419882168416103E-2</v>
      </c>
      <c r="BO52" s="90">
        <f t="shared" ref="BO52:BQ55" si="46">BQ15</f>
        <v>0</v>
      </c>
      <c r="BP52" s="90">
        <f t="shared" si="46"/>
        <v>0</v>
      </c>
      <c r="BQ52" s="90">
        <f t="shared" si="46"/>
        <v>1.7610474355182863E-2</v>
      </c>
      <c r="BR52" s="90">
        <f>BU15</f>
        <v>4.1710766519038514E-4</v>
      </c>
      <c r="BS52" s="90">
        <f>BY15</f>
        <v>0.23432537129776612</v>
      </c>
      <c r="BT52" s="218">
        <f>BT15+BV15+BW15+BX15</f>
        <v>1.1737160361824156E-3</v>
      </c>
      <c r="BU52" s="90">
        <f t="shared" si="41"/>
        <v>1.0000000000000002</v>
      </c>
    </row>
    <row r="53" spans="1:73" x14ac:dyDescent="0.3">
      <c r="A53" s="91">
        <v>37111</v>
      </c>
      <c r="B53" s="206" t="s">
        <v>94</v>
      </c>
      <c r="C53" s="207" t="s">
        <v>160</v>
      </c>
      <c r="D53" s="208"/>
      <c r="E53" s="208"/>
      <c r="F53" s="209">
        <v>83657293</v>
      </c>
      <c r="G53" s="221">
        <v>3</v>
      </c>
      <c r="H53" s="211">
        <v>0.22</v>
      </c>
      <c r="I53" s="282">
        <v>4.4428224374495562</v>
      </c>
      <c r="J53" s="304">
        <v>0.13508252623083131</v>
      </c>
      <c r="K53" s="219">
        <v>33.999503995016752</v>
      </c>
      <c r="L53" s="220">
        <v>10.997387462749487</v>
      </c>
      <c r="M53" s="220">
        <v>0</v>
      </c>
      <c r="N53" s="220">
        <v>3.8771500052304821E-2</v>
      </c>
      <c r="O53" s="220">
        <v>0</v>
      </c>
      <c r="P53" s="220">
        <v>29.564371011038581</v>
      </c>
      <c r="Q53" s="220">
        <v>1.9187002032871019</v>
      </c>
      <c r="R53" s="305">
        <f t="shared" si="32"/>
        <v>76.518734172144235</v>
      </c>
      <c r="S53" s="240"/>
      <c r="T53" s="210">
        <f t="shared" si="33"/>
        <v>4.2001974619653106</v>
      </c>
      <c r="U53" s="215">
        <f t="shared" si="34"/>
        <v>0.10300590092604184</v>
      </c>
      <c r="V53" s="221"/>
      <c r="W53" s="215"/>
      <c r="BD53" s="217">
        <f t="shared" si="44"/>
        <v>37112</v>
      </c>
      <c r="BE53" s="10" t="str">
        <f t="shared" si="44"/>
        <v>Vaarten NOP</v>
      </c>
      <c r="BF53" s="90"/>
      <c r="BG53" s="90">
        <f>BF16+BG16</f>
        <v>0.29863548454399025</v>
      </c>
      <c r="BH53" s="90">
        <f t="shared" si="45"/>
        <v>3.4037416214870136E-2</v>
      </c>
      <c r="BI53" s="90">
        <f t="shared" si="45"/>
        <v>4.2548090112528008E-4</v>
      </c>
      <c r="BJ53" s="90">
        <f t="shared" si="45"/>
        <v>0.13256138295187661</v>
      </c>
      <c r="BK53" s="90">
        <f t="shared" si="45"/>
        <v>7.5612711840113284E-2</v>
      </c>
      <c r="BL53" s="90">
        <f t="shared" si="45"/>
        <v>1.6469043315827405E-2</v>
      </c>
      <c r="BM53" s="90">
        <f t="shared" si="45"/>
        <v>0.22970490957341391</v>
      </c>
      <c r="BN53" s="90">
        <f>BN16+BO16+BP16</f>
        <v>1.7148558188001053E-2</v>
      </c>
      <c r="BO53" s="90">
        <f t="shared" si="46"/>
        <v>2.610871677570336E-2</v>
      </c>
      <c r="BP53" s="90">
        <f t="shared" si="46"/>
        <v>0</v>
      </c>
      <c r="BQ53" s="90">
        <f t="shared" si="46"/>
        <v>1.113762080470004E-2</v>
      </c>
      <c r="BR53" s="90">
        <f>BU16</f>
        <v>1.340274032608869E-3</v>
      </c>
      <c r="BS53" s="90">
        <f>BY16</f>
        <v>0.15458399327981173</v>
      </c>
      <c r="BT53" s="218">
        <f>BT16+BV16+BW16+BX16</f>
        <v>2.2344075779578963E-3</v>
      </c>
      <c r="BU53" s="90">
        <f t="shared" si="41"/>
        <v>0.99999999999999989</v>
      </c>
    </row>
    <row r="54" spans="1:73" x14ac:dyDescent="0.3">
      <c r="A54" s="91">
        <v>37112</v>
      </c>
      <c r="B54" s="206" t="s">
        <v>96</v>
      </c>
      <c r="C54" s="207" t="s">
        <v>161</v>
      </c>
      <c r="D54" s="208"/>
      <c r="E54" s="208"/>
      <c r="F54" s="209">
        <v>30272793</v>
      </c>
      <c r="G54" s="221">
        <v>3.8</v>
      </c>
      <c r="H54" s="211">
        <v>0.15</v>
      </c>
      <c r="I54" s="282">
        <v>4.0860626670484921</v>
      </c>
      <c r="J54" s="304">
        <v>0.10004353488245241</v>
      </c>
      <c r="K54" s="219">
        <v>8.4670512229060773</v>
      </c>
      <c r="L54" s="220">
        <v>26.8827465041058</v>
      </c>
      <c r="M54" s="220">
        <v>4.7659933252857147</v>
      </c>
      <c r="N54" s="220">
        <v>0.13460605199086381</v>
      </c>
      <c r="O54" s="220">
        <v>0</v>
      </c>
      <c r="P54" s="220">
        <v>16.26735021593834</v>
      </c>
      <c r="Q54" s="220">
        <v>325.12330108533035</v>
      </c>
      <c r="R54" s="305">
        <f t="shared" si="32"/>
        <v>381.64104840555717</v>
      </c>
      <c r="S54" s="222">
        <f>R54*1</f>
        <v>381.64104840555717</v>
      </c>
      <c r="T54" s="210">
        <f t="shared" si="33"/>
        <v>4.6828653467169046</v>
      </c>
      <c r="U54" s="215">
        <f t="shared" si="34"/>
        <v>0.1124326103366125</v>
      </c>
      <c r="V54" s="223">
        <f>AE16/1000</f>
        <v>1787.1736404630924</v>
      </c>
      <c r="W54" s="285">
        <f>AE34/1000</f>
        <v>42.908899283838274</v>
      </c>
      <c r="BD54" s="217">
        <f t="shared" si="44"/>
        <v>37113</v>
      </c>
      <c r="BE54" s="10" t="str">
        <f t="shared" si="44"/>
        <v>Vaarten hoge afdeling ZOF</v>
      </c>
      <c r="BF54" s="90"/>
      <c r="BG54" s="90">
        <f>BF17+BG17</f>
        <v>0.10420612337684851</v>
      </c>
      <c r="BH54" s="90">
        <f t="shared" si="45"/>
        <v>3.2722230896864532E-2</v>
      </c>
      <c r="BI54" s="90">
        <f t="shared" si="45"/>
        <v>1.4312998221701923E-4</v>
      </c>
      <c r="BJ54" s="90">
        <f t="shared" si="45"/>
        <v>7.4758920048146466E-2</v>
      </c>
      <c r="BK54" s="90">
        <f t="shared" si="45"/>
        <v>7.059093815880009E-2</v>
      </c>
      <c r="BL54" s="90">
        <f t="shared" si="45"/>
        <v>7.3461132119093178E-2</v>
      </c>
      <c r="BM54" s="90">
        <f t="shared" si="45"/>
        <v>0.52274041361105728</v>
      </c>
      <c r="BN54" s="90">
        <f>BN17+BO17+BP17</f>
        <v>1.101716971147196E-2</v>
      </c>
      <c r="BO54" s="90">
        <f t="shared" si="46"/>
        <v>9.941726013581122E-3</v>
      </c>
      <c r="BP54" s="90">
        <f t="shared" si="46"/>
        <v>0</v>
      </c>
      <c r="BQ54" s="90">
        <f t="shared" si="46"/>
        <v>3.8256367796628214E-2</v>
      </c>
      <c r="BR54" s="90">
        <f>BU17</f>
        <v>2.203618172097787E-2</v>
      </c>
      <c r="BS54" s="90">
        <f>BY17</f>
        <v>3.6773200448425594E-2</v>
      </c>
      <c r="BT54" s="218">
        <f>BT17+BV17+BW17+BX17</f>
        <v>3.352466115888234E-3</v>
      </c>
      <c r="BU54" s="90">
        <f t="shared" si="41"/>
        <v>1</v>
      </c>
    </row>
    <row r="55" spans="1:73" x14ac:dyDescent="0.3">
      <c r="A55" s="91">
        <v>37113</v>
      </c>
      <c r="B55" s="206" t="s">
        <v>98</v>
      </c>
      <c r="C55" s="207" t="s">
        <v>162</v>
      </c>
      <c r="D55" s="208"/>
      <c r="E55" s="208"/>
      <c r="F55" s="209">
        <v>62900908</v>
      </c>
      <c r="G55" s="221">
        <v>2.5</v>
      </c>
      <c r="H55" s="211">
        <v>0.1</v>
      </c>
      <c r="I55" s="282">
        <v>2.9509481287446406</v>
      </c>
      <c r="J55" s="304">
        <v>8.6996024647187406E-2</v>
      </c>
      <c r="K55" s="219">
        <v>20.971484446290731</v>
      </c>
      <c r="L55" s="220">
        <v>21.9479079428402</v>
      </c>
      <c r="M55" s="220">
        <v>1.6100788129285715</v>
      </c>
      <c r="N55" s="220">
        <v>0.22426219651162799</v>
      </c>
      <c r="O55" s="220">
        <v>0</v>
      </c>
      <c r="P55" s="220">
        <v>18.345342986168063</v>
      </c>
      <c r="Q55" s="220">
        <v>166.6145947635186</v>
      </c>
      <c r="R55" s="305">
        <f t="shared" si="32"/>
        <v>229.71367114825779</v>
      </c>
      <c r="S55" s="222">
        <f>R55*(1-0.09)</f>
        <v>209.0394407449146</v>
      </c>
      <c r="T55" s="210">
        <f t="shared" si="33"/>
        <v>4.1888140759662367</v>
      </c>
      <c r="U55" s="215">
        <f t="shared" si="34"/>
        <v>0.10940093581016083</v>
      </c>
      <c r="V55" s="223">
        <f>AE17/1000*(1-0.09)</f>
        <v>875.62735182440849</v>
      </c>
      <c r="W55" s="285">
        <f>AE35/1000*(1-0.09)</f>
        <v>22.86911043872632</v>
      </c>
      <c r="X55" s="306"/>
      <c r="Y55" s="10"/>
      <c r="BD55" s="217">
        <f t="shared" si="44"/>
        <v>37114</v>
      </c>
      <c r="BE55" s="10" t="str">
        <f t="shared" si="44"/>
        <v>Vaarten Lage afdeling ZOF</v>
      </c>
      <c r="BF55" s="90"/>
      <c r="BG55" s="90">
        <f>BF18+BG18</f>
        <v>0.11883250397175184</v>
      </c>
      <c r="BH55" s="90">
        <f t="shared" si="45"/>
        <v>4.0271695746915318E-2</v>
      </c>
      <c r="BI55" s="90">
        <f t="shared" si="45"/>
        <v>1.0681575796611081E-4</v>
      </c>
      <c r="BJ55" s="90">
        <f t="shared" si="45"/>
        <v>4.262200832716926E-2</v>
      </c>
      <c r="BK55" s="90">
        <f t="shared" si="45"/>
        <v>6.6632195962687157E-2</v>
      </c>
      <c r="BL55" s="90">
        <f t="shared" si="45"/>
        <v>3.6257926140961433E-2</v>
      </c>
      <c r="BM55" s="90">
        <f t="shared" si="45"/>
        <v>0.56718080224046752</v>
      </c>
      <c r="BN55" s="90">
        <f>BN18+BO18+BP18</f>
        <v>1.1631217806222026E-2</v>
      </c>
      <c r="BO55" s="90">
        <f t="shared" si="46"/>
        <v>6.1185897622907888E-2</v>
      </c>
      <c r="BP55" s="90">
        <f t="shared" si="46"/>
        <v>7.0898295579639226E-4</v>
      </c>
      <c r="BQ55" s="90">
        <f t="shared" si="46"/>
        <v>1.8407577927221277E-2</v>
      </c>
      <c r="BR55" s="90">
        <f>BU18</f>
        <v>1.5820592150837299E-2</v>
      </c>
      <c r="BS55" s="90">
        <f>BY18</f>
        <v>1.7361934714988973E-2</v>
      </c>
      <c r="BT55" s="218">
        <f>BT18+BV18+BW18+BX18</f>
        <v>2.979848674107507E-3</v>
      </c>
      <c r="BU55" s="90">
        <f t="shared" si="41"/>
        <v>0.99999999999999989</v>
      </c>
    </row>
    <row r="56" spans="1:73" ht="15" thickBot="1" x14ac:dyDescent="0.35">
      <c r="A56" s="91">
        <v>37114</v>
      </c>
      <c r="B56" s="206" t="s">
        <v>100</v>
      </c>
      <c r="C56" s="207" t="s">
        <v>163</v>
      </c>
      <c r="D56" s="208"/>
      <c r="E56" s="208"/>
      <c r="F56" s="209">
        <v>86931051</v>
      </c>
      <c r="G56" s="221">
        <v>3.8</v>
      </c>
      <c r="H56" s="211">
        <v>0.15</v>
      </c>
      <c r="I56" s="282">
        <v>3.9888297613799351</v>
      </c>
      <c r="J56" s="304">
        <v>0.14591341923933013</v>
      </c>
      <c r="K56" s="291">
        <v>22.994733638881012</v>
      </c>
      <c r="L56" s="292">
        <v>39.127483883338947</v>
      </c>
      <c r="M56" s="292">
        <v>18.750563891999999</v>
      </c>
      <c r="N56" s="292">
        <v>2.6733303448089702</v>
      </c>
      <c r="O56" s="292">
        <v>0.84624514285714281</v>
      </c>
      <c r="P56" s="292">
        <v>11.298738106491426</v>
      </c>
      <c r="Q56" s="292">
        <v>272.45556329598389</v>
      </c>
      <c r="R56" s="307">
        <f t="shared" si="32"/>
        <v>368.14665830436138</v>
      </c>
      <c r="S56" s="222">
        <f>R56*1</f>
        <v>368.14665830436138</v>
      </c>
      <c r="T56" s="210">
        <f t="shared" si="33"/>
        <v>5.4187487343479646</v>
      </c>
      <c r="U56" s="215">
        <f t="shared" si="34"/>
        <v>0.14264645158175043</v>
      </c>
      <c r="V56" s="229">
        <f>AE18/1000</f>
        <v>1994.894238741191</v>
      </c>
      <c r="W56" s="286">
        <f>AE36/1000</f>
        <v>52.514814468796317</v>
      </c>
      <c r="X56" s="306"/>
      <c r="BD56" s="225"/>
      <c r="BE56" s="226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8"/>
    </row>
    <row r="57" spans="1:73" x14ac:dyDescent="0.3">
      <c r="A57" s="57">
        <v>37113</v>
      </c>
      <c r="B57" s="188" t="s">
        <v>164</v>
      </c>
      <c r="C57" s="231"/>
      <c r="D57" s="232"/>
      <c r="E57" s="232"/>
      <c r="F57" s="233"/>
      <c r="G57" s="216"/>
      <c r="H57" s="234"/>
      <c r="I57" s="214"/>
      <c r="J57" s="235"/>
      <c r="K57" s="220"/>
      <c r="L57" s="220"/>
      <c r="M57" s="220"/>
      <c r="N57" s="220"/>
      <c r="P57" s="220"/>
      <c r="Q57" s="220"/>
      <c r="R57" s="220"/>
      <c r="S57" s="236">
        <f>R55-S55</f>
        <v>20.674230403343188</v>
      </c>
      <c r="T57" s="214"/>
      <c r="U57" s="235"/>
    </row>
    <row r="58" spans="1:73" ht="15" thickBot="1" x14ac:dyDescent="0.35">
      <c r="A58" s="92" t="s">
        <v>103</v>
      </c>
      <c r="B58" t="s">
        <v>165</v>
      </c>
      <c r="C58" s="92"/>
      <c r="F58" s="237">
        <f>F51+F53+F54</f>
        <v>479685137</v>
      </c>
      <c r="G58" s="92"/>
      <c r="J58" s="206"/>
      <c r="K58" s="239">
        <f t="shared" ref="K58:N58" si="47">K51+K53+K54</f>
        <v>196.74412313600263</v>
      </c>
      <c r="L58" s="239"/>
      <c r="M58" s="239">
        <f t="shared" si="47"/>
        <v>4.7659933252857147</v>
      </c>
      <c r="N58" s="239">
        <f t="shared" si="47"/>
        <v>0.79101295293563145</v>
      </c>
      <c r="P58" s="239">
        <f>P51+P53+P54</f>
        <v>119.06969355554827</v>
      </c>
      <c r="Q58" s="239">
        <f>Q51+Q53+Q54</f>
        <v>335.07716930957469</v>
      </c>
      <c r="R58" s="239">
        <f>R51+R53+R54</f>
        <v>734.76952565796614</v>
      </c>
      <c r="S58" s="240"/>
      <c r="T58" s="241"/>
      <c r="U58" s="242"/>
    </row>
    <row r="59" spans="1:73" x14ac:dyDescent="0.3">
      <c r="A59" s="106" t="s">
        <v>166</v>
      </c>
      <c r="B59" s="243" t="s">
        <v>165</v>
      </c>
      <c r="C59" s="106"/>
      <c r="D59" s="243"/>
      <c r="E59" s="243"/>
      <c r="F59" s="244">
        <f>SUM(F43:F50)+F55+F56</f>
        <v>903549023</v>
      </c>
      <c r="G59" s="106"/>
      <c r="H59" s="243"/>
      <c r="I59" s="243"/>
      <c r="J59" s="245"/>
      <c r="K59" s="247">
        <f t="shared" ref="K59:N59" si="48">SUM(K43:K50)+K55+K56</f>
        <v>303.45187051998323</v>
      </c>
      <c r="L59" s="247"/>
      <c r="M59" s="247">
        <f t="shared" si="48"/>
        <v>20.360642704928569</v>
      </c>
      <c r="N59" s="247">
        <f t="shared" si="48"/>
        <v>23.424946806237795</v>
      </c>
      <c r="O59" s="243"/>
      <c r="P59" s="247">
        <f>SUM(P43:P50)+P55+P56</f>
        <v>30.42099227453474</v>
      </c>
      <c r="Q59" s="247">
        <f>SUM(Q43:Q50)+Q55+Q56</f>
        <v>491.56713339692288</v>
      </c>
      <c r="R59" s="247">
        <f>SUM(R43:R50)+R55+R56</f>
        <v>1044.114790863475</v>
      </c>
      <c r="S59" s="248"/>
      <c r="T59" s="249"/>
      <c r="U59" s="250"/>
      <c r="BD59" s="324" t="s">
        <v>193</v>
      </c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325"/>
      <c r="BQ59" s="325"/>
      <c r="BR59" s="325"/>
      <c r="BS59" s="325"/>
      <c r="BT59" s="326"/>
    </row>
    <row r="60" spans="1:73" ht="36.6" x14ac:dyDescent="0.3">
      <c r="K60" s="5"/>
      <c r="L60" s="5"/>
      <c r="M60" s="5"/>
      <c r="N60" s="5"/>
      <c r="O60" s="5"/>
      <c r="P60" s="5"/>
      <c r="Q60" s="5"/>
      <c r="R60" s="5"/>
      <c r="S60" s="251" t="s">
        <v>199</v>
      </c>
      <c r="BD60" s="351" t="s">
        <v>142</v>
      </c>
      <c r="BE60" s="352"/>
      <c r="BF60" s="352"/>
      <c r="BG60" s="204" t="str">
        <f>BG42</f>
        <v>bemesting</v>
      </c>
      <c r="BH60" s="204" t="str">
        <f t="shared" ref="BH60:BT60" si="49">BH42</f>
        <v>Depositie</v>
      </c>
      <c r="BI60" s="204" t="str">
        <f t="shared" si="49"/>
        <v>Infiltratie</v>
      </c>
      <c r="BJ60" s="204" t="str">
        <f t="shared" si="49"/>
        <v>Kwel</v>
      </c>
      <c r="BK60" s="204" t="str">
        <f t="shared" si="49"/>
        <v>Mineralisatie &amp; uitloging</v>
      </c>
      <c r="BL60" s="204" t="str">
        <f t="shared" si="49"/>
        <v>Uit- en afspoeling natuur</v>
      </c>
      <c r="BM60" s="204" t="str">
        <f t="shared" si="49"/>
        <v xml:space="preserve">Directe kwel </v>
      </c>
      <c r="BN60" s="204" t="str">
        <f t="shared" si="49"/>
        <v>Overig agrarisch</v>
      </c>
      <c r="BO60" s="204" t="str">
        <f t="shared" si="49"/>
        <v>RWZI</v>
      </c>
      <c r="BP60" s="204" t="str">
        <f t="shared" si="49"/>
        <v>Industrie</v>
      </c>
      <c r="BQ60" s="204" t="str">
        <f t="shared" si="49"/>
        <v>Depositie open water</v>
      </c>
      <c r="BR60" s="204" t="str">
        <f t="shared" si="49"/>
        <v>Regenwaterriolen</v>
      </c>
      <c r="BS60" s="204" t="str">
        <f t="shared" si="49"/>
        <v>Inlaat Rijkswater</v>
      </c>
      <c r="BT60" s="205" t="str">
        <f t="shared" si="49"/>
        <v>Overige bronnen</v>
      </c>
    </row>
    <row r="61" spans="1:73" x14ac:dyDescent="0.3"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BD61" s="217">
        <f t="shared" ref="BD61:BD69" si="50">BD23</f>
        <v>37101</v>
      </c>
      <c r="BE61" s="10" t="str">
        <f t="shared" ref="BE61:BE69" si="51">BE23</f>
        <v>Tochten ABC1</v>
      </c>
      <c r="BF61" s="90"/>
      <c r="BG61" s="90">
        <f>BF23+BG23</f>
        <v>6.1366618892893007E-2</v>
      </c>
      <c r="BH61" s="90">
        <f t="shared" ref="BH61:BM69" si="52">BH23</f>
        <v>0</v>
      </c>
      <c r="BI61" s="90">
        <f t="shared" si="52"/>
        <v>1.6740467693763839E-4</v>
      </c>
      <c r="BJ61" s="90">
        <f t="shared" si="52"/>
        <v>7.8185612343480981E-2</v>
      </c>
      <c r="BK61" s="90">
        <f t="shared" si="52"/>
        <v>2.4652292666091053E-2</v>
      </c>
      <c r="BL61" s="90">
        <f t="shared" si="52"/>
        <v>0.24750286542197733</v>
      </c>
      <c r="BM61" s="90">
        <f t="shared" si="52"/>
        <v>0.52479718128160491</v>
      </c>
      <c r="BN61" s="90">
        <f t="shared" ref="BN61:BN69" si="53">BN23+BO23+BP23</f>
        <v>4.043209411675442E-2</v>
      </c>
      <c r="BO61" s="90">
        <f t="shared" ref="BO61:BQ69" si="54">BQ23</f>
        <v>0</v>
      </c>
      <c r="BP61" s="90">
        <f t="shared" si="54"/>
        <v>0</v>
      </c>
      <c r="BQ61" s="90">
        <f t="shared" si="54"/>
        <v>0</v>
      </c>
      <c r="BR61" s="90">
        <f t="shared" ref="BR61:BR69" si="55">BU23</f>
        <v>1.3062191574079758E-2</v>
      </c>
      <c r="BS61" s="90">
        <f t="shared" ref="BS61:BS69" si="56">BY23</f>
        <v>0</v>
      </c>
      <c r="BT61" s="218">
        <f t="shared" ref="BT61:BT69" si="57">BT23+BV23+BW23+BX23</f>
        <v>9.8337390261808676E-3</v>
      </c>
      <c r="BU61" s="90">
        <f>SUM(BG61:BT61)</f>
        <v>1</v>
      </c>
    </row>
    <row r="62" spans="1:73" x14ac:dyDescent="0.3">
      <c r="K62" s="308"/>
      <c r="L62" s="308"/>
      <c r="M62" s="308"/>
      <c r="N62" s="308"/>
      <c r="O62" s="308"/>
      <c r="P62" s="308"/>
      <c r="Q62" s="308"/>
      <c r="BD62" s="217">
        <f t="shared" si="50"/>
        <v>37102</v>
      </c>
      <c r="BE62" s="10" t="str">
        <f t="shared" si="51"/>
        <v>Tochten ABC2</v>
      </c>
      <c r="BF62" s="90"/>
      <c r="BG62" s="90">
        <f t="shared" ref="BG62:BG69" si="58">BF24+BG24</f>
        <v>0.18976654224886594</v>
      </c>
      <c r="BH62" s="90">
        <f t="shared" si="52"/>
        <v>0</v>
      </c>
      <c r="BI62" s="90">
        <f t="shared" si="52"/>
        <v>3.0040994056817919E-4</v>
      </c>
      <c r="BJ62" s="90">
        <f t="shared" si="52"/>
        <v>0.14637456264477403</v>
      </c>
      <c r="BK62" s="90">
        <f t="shared" si="52"/>
        <v>8.8020341633754329E-2</v>
      </c>
      <c r="BL62" s="90">
        <f t="shared" si="52"/>
        <v>6.1451293324771956E-2</v>
      </c>
      <c r="BM62" s="90">
        <f t="shared" si="52"/>
        <v>0.46014439400193224</v>
      </c>
      <c r="BN62" s="90">
        <f t="shared" si="53"/>
        <v>3.4726280843114118E-2</v>
      </c>
      <c r="BO62" s="90">
        <f t="shared" si="54"/>
        <v>0</v>
      </c>
      <c r="BP62" s="90">
        <f t="shared" si="54"/>
        <v>0</v>
      </c>
      <c r="BQ62" s="90">
        <f t="shared" si="54"/>
        <v>0</v>
      </c>
      <c r="BR62" s="90">
        <f t="shared" si="55"/>
        <v>1.0601634971318911E-2</v>
      </c>
      <c r="BS62" s="90">
        <f t="shared" si="56"/>
        <v>0</v>
      </c>
      <c r="BT62" s="218">
        <f t="shared" si="57"/>
        <v>8.6145403909002292E-3</v>
      </c>
      <c r="BU62" s="90">
        <f t="shared" ref="BU62:BU73" si="59">SUM(BG62:BT62)</f>
        <v>1</v>
      </c>
    </row>
    <row r="63" spans="1:73" x14ac:dyDescent="0.3"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BD63" s="217">
        <f t="shared" si="50"/>
        <v>37103</v>
      </c>
      <c r="BE63" s="10" t="str">
        <f t="shared" si="51"/>
        <v>Tochten DE Almere</v>
      </c>
      <c r="BF63" s="90"/>
      <c r="BG63" s="90">
        <f t="shared" si="58"/>
        <v>5.4247246028906418E-2</v>
      </c>
      <c r="BH63" s="90">
        <f t="shared" si="52"/>
        <v>0</v>
      </c>
      <c r="BI63" s="90">
        <f t="shared" si="52"/>
        <v>5.5435359559641759E-5</v>
      </c>
      <c r="BJ63" s="90">
        <f t="shared" si="52"/>
        <v>9.9175186410966121E-2</v>
      </c>
      <c r="BK63" s="90">
        <f t="shared" si="52"/>
        <v>1.6649679812759811E-2</v>
      </c>
      <c r="BL63" s="90">
        <f t="shared" si="52"/>
        <v>0.2526076363345835</v>
      </c>
      <c r="BM63" s="90">
        <f t="shared" si="52"/>
        <v>4.8687723259790587E-2</v>
      </c>
      <c r="BN63" s="90">
        <f t="shared" si="53"/>
        <v>1.5303067429973099E-2</v>
      </c>
      <c r="BO63" s="90">
        <f t="shared" si="54"/>
        <v>0</v>
      </c>
      <c r="BP63" s="90">
        <f t="shared" si="54"/>
        <v>0</v>
      </c>
      <c r="BQ63" s="90">
        <f t="shared" si="54"/>
        <v>0</v>
      </c>
      <c r="BR63" s="90">
        <f t="shared" si="55"/>
        <v>0.36486620828942501</v>
      </c>
      <c r="BS63" s="90">
        <f t="shared" si="56"/>
        <v>6.065774939061774E-3</v>
      </c>
      <c r="BT63" s="218">
        <f t="shared" si="57"/>
        <v>0.14234204213497409</v>
      </c>
      <c r="BU63" s="90">
        <f t="shared" si="59"/>
        <v>1</v>
      </c>
    </row>
    <row r="64" spans="1:73" x14ac:dyDescent="0.3">
      <c r="BD64" s="217">
        <f t="shared" si="50"/>
        <v>37104</v>
      </c>
      <c r="BE64" s="10" t="str">
        <f t="shared" si="51"/>
        <v>Tochten DE Zuidlob</v>
      </c>
      <c r="BF64" s="90"/>
      <c r="BG64" s="90">
        <f t="shared" si="58"/>
        <v>0.22399948334797612</v>
      </c>
      <c r="BH64" s="90">
        <f t="shared" si="52"/>
        <v>0</v>
      </c>
      <c r="BI64" s="90">
        <f t="shared" si="52"/>
        <v>3.5922359627607136E-4</v>
      </c>
      <c r="BJ64" s="90">
        <f t="shared" si="52"/>
        <v>7.8559549360371142E-2</v>
      </c>
      <c r="BK64" s="90">
        <f t="shared" si="52"/>
        <v>0.13395467370003311</v>
      </c>
      <c r="BL64" s="90">
        <f t="shared" si="52"/>
        <v>9.4237331403424704E-2</v>
      </c>
      <c r="BM64" s="90">
        <f t="shared" si="52"/>
        <v>0.22226475217640987</v>
      </c>
      <c r="BN64" s="90">
        <f t="shared" si="53"/>
        <v>6.8854780064581442E-2</v>
      </c>
      <c r="BO64" s="90">
        <f t="shared" si="54"/>
        <v>0</v>
      </c>
      <c r="BP64" s="90">
        <f t="shared" si="54"/>
        <v>0</v>
      </c>
      <c r="BQ64" s="90">
        <f t="shared" si="54"/>
        <v>0</v>
      </c>
      <c r="BR64" s="90">
        <f t="shared" si="55"/>
        <v>0.16852194752005828</v>
      </c>
      <c r="BS64" s="90">
        <f t="shared" si="56"/>
        <v>0</v>
      </c>
      <c r="BT64" s="218">
        <f t="shared" si="57"/>
        <v>9.2482588308692004E-3</v>
      </c>
      <c r="BU64" s="90">
        <f t="shared" si="59"/>
        <v>0.99999999999999989</v>
      </c>
    </row>
    <row r="65" spans="56:73" x14ac:dyDescent="0.3">
      <c r="BD65" s="217">
        <f t="shared" si="50"/>
        <v>37105</v>
      </c>
      <c r="BE65" s="10" t="str">
        <f t="shared" si="51"/>
        <v>Tochten FGIK</v>
      </c>
      <c r="BF65" s="90"/>
      <c r="BG65" s="90">
        <f t="shared" si="58"/>
        <v>0.33714813839729457</v>
      </c>
      <c r="BH65" s="90">
        <f t="shared" si="52"/>
        <v>0</v>
      </c>
      <c r="BI65" s="90">
        <f t="shared" si="52"/>
        <v>3.2435041302159771E-4</v>
      </c>
      <c r="BJ65" s="90">
        <f t="shared" si="52"/>
        <v>7.4350110009196307E-2</v>
      </c>
      <c r="BK65" s="90">
        <f t="shared" si="52"/>
        <v>0.14509424464306889</v>
      </c>
      <c r="BL65" s="90">
        <f t="shared" si="52"/>
        <v>3.5535294901279553E-2</v>
      </c>
      <c r="BM65" s="90">
        <f t="shared" si="52"/>
        <v>0.27060635578861797</v>
      </c>
      <c r="BN65" s="90">
        <f t="shared" si="53"/>
        <v>3.1602403612857884E-2</v>
      </c>
      <c r="BO65" s="90">
        <f t="shared" si="54"/>
        <v>2.5823076865016844E-4</v>
      </c>
      <c r="BP65" s="90">
        <f t="shared" si="54"/>
        <v>0</v>
      </c>
      <c r="BQ65" s="90">
        <f t="shared" si="54"/>
        <v>0</v>
      </c>
      <c r="BR65" s="90">
        <f t="shared" si="55"/>
        <v>7.9956674712058792E-2</v>
      </c>
      <c r="BS65" s="90">
        <f t="shared" si="56"/>
        <v>2.0373195933265182E-3</v>
      </c>
      <c r="BT65" s="218">
        <f t="shared" si="57"/>
        <v>2.3086877160627774E-2</v>
      </c>
      <c r="BU65" s="90">
        <f t="shared" si="59"/>
        <v>1</v>
      </c>
    </row>
    <row r="66" spans="56:73" x14ac:dyDescent="0.3">
      <c r="BD66" s="217">
        <f t="shared" si="50"/>
        <v>37106</v>
      </c>
      <c r="BE66" s="10" t="str">
        <f t="shared" si="51"/>
        <v>Tochten FGIK ZUID</v>
      </c>
      <c r="BF66" s="90"/>
      <c r="BG66" s="90">
        <f t="shared" si="58"/>
        <v>0.43342744820709045</v>
      </c>
      <c r="BH66" s="90">
        <f t="shared" si="52"/>
        <v>0</v>
      </c>
      <c r="BI66" s="90">
        <f t="shared" si="52"/>
        <v>1.9246601711304579E-4</v>
      </c>
      <c r="BJ66" s="90">
        <f t="shared" si="52"/>
        <v>7.0779624262236787E-2</v>
      </c>
      <c r="BK66" s="90">
        <f t="shared" si="52"/>
        <v>0.28139793314091016</v>
      </c>
      <c r="BL66" s="90">
        <f t="shared" si="52"/>
        <v>5.9535987095283557E-2</v>
      </c>
      <c r="BM66" s="90">
        <f t="shared" si="52"/>
        <v>4.6156711960697705E-2</v>
      </c>
      <c r="BN66" s="90">
        <f t="shared" si="53"/>
        <v>8.0265188330397086E-2</v>
      </c>
      <c r="BO66" s="90">
        <f t="shared" si="54"/>
        <v>5.0671967855795937E-4</v>
      </c>
      <c r="BP66" s="90">
        <f t="shared" si="54"/>
        <v>0</v>
      </c>
      <c r="BQ66" s="90">
        <f t="shared" si="54"/>
        <v>0</v>
      </c>
      <c r="BR66" s="90">
        <f t="shared" si="55"/>
        <v>1.2527108373309498E-2</v>
      </c>
      <c r="BS66" s="90">
        <f t="shared" si="56"/>
        <v>2.2349757547052724E-3</v>
      </c>
      <c r="BT66" s="218">
        <f t="shared" si="57"/>
        <v>1.2975837179698305E-2</v>
      </c>
      <c r="BU66" s="90">
        <f t="shared" si="59"/>
        <v>0.99999999999999978</v>
      </c>
    </row>
    <row r="67" spans="56:73" x14ac:dyDescent="0.3">
      <c r="BD67" s="217">
        <f t="shared" si="50"/>
        <v>37107</v>
      </c>
      <c r="BE67" s="10" t="str">
        <f t="shared" si="51"/>
        <v>Tochten H</v>
      </c>
      <c r="BF67" s="90"/>
      <c r="BG67" s="90">
        <f t="shared" si="58"/>
        <v>0.36786807126984067</v>
      </c>
      <c r="BH67" s="90">
        <f t="shared" si="52"/>
        <v>0</v>
      </c>
      <c r="BI67" s="90">
        <f t="shared" si="52"/>
        <v>2.7612529966293206E-4</v>
      </c>
      <c r="BJ67" s="90">
        <f t="shared" si="52"/>
        <v>2.9942772119760808E-2</v>
      </c>
      <c r="BK67" s="90">
        <f t="shared" si="52"/>
        <v>0.17557600128141373</v>
      </c>
      <c r="BL67" s="90">
        <f t="shared" si="52"/>
        <v>1.4667755991942802E-2</v>
      </c>
      <c r="BM67" s="90">
        <f t="shared" si="52"/>
        <v>0.32544629260104502</v>
      </c>
      <c r="BN67" s="90">
        <f t="shared" si="53"/>
        <v>2.7293986444000131E-2</v>
      </c>
      <c r="BO67" s="90">
        <f t="shared" si="54"/>
        <v>4.3011381184527402E-3</v>
      </c>
      <c r="BP67" s="90">
        <f t="shared" si="54"/>
        <v>0</v>
      </c>
      <c r="BQ67" s="90">
        <f t="shared" si="54"/>
        <v>0</v>
      </c>
      <c r="BR67" s="90">
        <f t="shared" si="55"/>
        <v>2.0168413905999195E-2</v>
      </c>
      <c r="BS67" s="90">
        <f t="shared" si="56"/>
        <v>1.7483716442686599E-2</v>
      </c>
      <c r="BT67" s="218">
        <f t="shared" si="57"/>
        <v>1.6975726525195554E-2</v>
      </c>
      <c r="BU67" s="90">
        <f t="shared" si="59"/>
        <v>1.0000000000000004</v>
      </c>
    </row>
    <row r="68" spans="56:73" x14ac:dyDescent="0.3">
      <c r="BD68" s="217">
        <f t="shared" si="50"/>
        <v>37108</v>
      </c>
      <c r="BE68" s="10" t="str">
        <f t="shared" si="51"/>
        <v>Tochten J</v>
      </c>
      <c r="BF68" s="90"/>
      <c r="BG68" s="90">
        <f t="shared" si="58"/>
        <v>0.30241521649409098</v>
      </c>
      <c r="BH68" s="90">
        <f t="shared" si="52"/>
        <v>0</v>
      </c>
      <c r="BI68" s="90">
        <f t="shared" si="52"/>
        <v>2.9971450693423555E-4</v>
      </c>
      <c r="BJ68" s="90">
        <f t="shared" si="52"/>
        <v>0.20713043859759508</v>
      </c>
      <c r="BK68" s="90">
        <f t="shared" si="52"/>
        <v>7.4174699240152658E-2</v>
      </c>
      <c r="BL68" s="90">
        <f t="shared" si="52"/>
        <v>5.3509384987911315E-2</v>
      </c>
      <c r="BM68" s="90">
        <f t="shared" si="52"/>
        <v>0.23907312955925547</v>
      </c>
      <c r="BN68" s="90">
        <f t="shared" si="53"/>
        <v>3.4576239412035935E-2</v>
      </c>
      <c r="BO68" s="90">
        <f t="shared" si="54"/>
        <v>0</v>
      </c>
      <c r="BP68" s="90">
        <f t="shared" si="54"/>
        <v>0</v>
      </c>
      <c r="BQ68" s="90">
        <f t="shared" si="54"/>
        <v>0</v>
      </c>
      <c r="BR68" s="90">
        <f t="shared" si="55"/>
        <v>7.1782080545803359E-2</v>
      </c>
      <c r="BS68" s="90">
        <f t="shared" si="56"/>
        <v>7.643230966363116E-4</v>
      </c>
      <c r="BT68" s="218">
        <f t="shared" si="57"/>
        <v>1.6274773559584635E-2</v>
      </c>
      <c r="BU68" s="90">
        <f t="shared" si="59"/>
        <v>0.99999999999999989</v>
      </c>
    </row>
    <row r="69" spans="56:73" x14ac:dyDescent="0.3">
      <c r="BD69" s="217">
        <f t="shared" si="50"/>
        <v>37109</v>
      </c>
      <c r="BE69" s="10" t="str">
        <f t="shared" si="51"/>
        <v>Tochten lage afdeling NOP</v>
      </c>
      <c r="BF69" s="90"/>
      <c r="BG69" s="90">
        <f t="shared" si="58"/>
        <v>0.36668477112237841</v>
      </c>
      <c r="BH69" s="90">
        <f t="shared" si="52"/>
        <v>0</v>
      </c>
      <c r="BI69" s="90">
        <f t="shared" si="52"/>
        <v>2.8210961812286616E-4</v>
      </c>
      <c r="BJ69" s="90">
        <f t="shared" si="52"/>
        <v>0.20624221011915275</v>
      </c>
      <c r="BK69" s="90">
        <f t="shared" si="52"/>
        <v>0.11913239525571799</v>
      </c>
      <c r="BL69" s="90">
        <f t="shared" si="52"/>
        <v>1.3280886451305089E-2</v>
      </c>
      <c r="BM69" s="90">
        <f t="shared" si="52"/>
        <v>0.13368146755996627</v>
      </c>
      <c r="BN69" s="90">
        <f t="shared" si="53"/>
        <v>4.7066055379732276E-2</v>
      </c>
      <c r="BO69" s="90">
        <f t="shared" si="54"/>
        <v>0</v>
      </c>
      <c r="BP69" s="90">
        <f t="shared" si="54"/>
        <v>0</v>
      </c>
      <c r="BQ69" s="90">
        <f t="shared" si="54"/>
        <v>0</v>
      </c>
      <c r="BR69" s="90">
        <f t="shared" si="55"/>
        <v>4.9576942242266888E-3</v>
      </c>
      <c r="BS69" s="90">
        <f t="shared" si="56"/>
        <v>0.1002062306148612</v>
      </c>
      <c r="BT69" s="218">
        <f t="shared" si="57"/>
        <v>8.4661796545364987E-3</v>
      </c>
      <c r="BU69" s="90">
        <f t="shared" si="59"/>
        <v>1</v>
      </c>
    </row>
    <row r="70" spans="56:73" x14ac:dyDescent="0.3">
      <c r="BD70" s="217">
        <f t="shared" ref="BD70:BE73" si="60">BD33</f>
        <v>37111</v>
      </c>
      <c r="BE70" s="10" t="str">
        <f t="shared" si="60"/>
        <v>Tochten hoge afdeling NOP</v>
      </c>
      <c r="BF70" s="90"/>
      <c r="BG70" s="90">
        <f>BF33+BG33</f>
        <v>0.33301174216079016</v>
      </c>
      <c r="BH70" s="90">
        <f t="shared" ref="BH70:BM73" si="61">BH33</f>
        <v>0</v>
      </c>
      <c r="BI70" s="90">
        <f t="shared" si="61"/>
        <v>2.8243249750917925E-4</v>
      </c>
      <c r="BJ70" s="90">
        <f t="shared" si="61"/>
        <v>0.14386431845521244</v>
      </c>
      <c r="BK70" s="90">
        <f t="shared" si="61"/>
        <v>0.10541256138245728</v>
      </c>
      <c r="BL70" s="90">
        <f t="shared" si="61"/>
        <v>1.0608143188418866E-2</v>
      </c>
      <c r="BM70" s="90">
        <f t="shared" si="61"/>
        <v>0.13980902620223923</v>
      </c>
      <c r="BN70" s="90">
        <f>BN33+BO33+BP33</f>
        <v>6.8476497882720741E-2</v>
      </c>
      <c r="BO70" s="90">
        <f t="shared" ref="BO70:BQ73" si="62">BQ33</f>
        <v>0</v>
      </c>
      <c r="BP70" s="90">
        <f t="shared" si="62"/>
        <v>0</v>
      </c>
      <c r="BQ70" s="90">
        <f t="shared" si="62"/>
        <v>0</v>
      </c>
      <c r="BR70" s="90">
        <f>BU33</f>
        <v>1.7523564279757924E-3</v>
      </c>
      <c r="BS70" s="90">
        <f>BY33</f>
        <v>0.19125617806924181</v>
      </c>
      <c r="BT70" s="218">
        <f>BT33+BV33+BW33+BX33</f>
        <v>5.5267437334344891E-3</v>
      </c>
      <c r="BU70" s="90">
        <f t="shared" si="59"/>
        <v>0.99999999999999989</v>
      </c>
    </row>
    <row r="71" spans="56:73" x14ac:dyDescent="0.3">
      <c r="BD71" s="217">
        <f t="shared" si="60"/>
        <v>37112</v>
      </c>
      <c r="BE71" s="10" t="str">
        <f t="shared" si="60"/>
        <v>Vaarten NOP</v>
      </c>
      <c r="BF71" s="90"/>
      <c r="BG71" s="90">
        <f>BF34+BG34</f>
        <v>0.24195719950652717</v>
      </c>
      <c r="BH71" s="90">
        <f t="shared" si="61"/>
        <v>0</v>
      </c>
      <c r="BI71" s="90">
        <f t="shared" si="61"/>
        <v>1.86178986871953E-4</v>
      </c>
      <c r="BJ71" s="90">
        <f t="shared" si="61"/>
        <v>0.12858489704640036</v>
      </c>
      <c r="BK71" s="90">
        <f t="shared" si="61"/>
        <v>7.989888336605E-2</v>
      </c>
      <c r="BL71" s="90">
        <f t="shared" si="61"/>
        <v>1.1878672756704832E-2</v>
      </c>
      <c r="BM71" s="90">
        <f t="shared" si="61"/>
        <v>0.24080062820260537</v>
      </c>
      <c r="BN71" s="90">
        <f>BN34+BO34+BP34</f>
        <v>3.2631773035894374E-2</v>
      </c>
      <c r="BO71" s="90">
        <f t="shared" si="62"/>
        <v>0.11079577703840855</v>
      </c>
      <c r="BP71" s="90">
        <f t="shared" si="62"/>
        <v>0</v>
      </c>
      <c r="BQ71" s="90">
        <f t="shared" si="62"/>
        <v>0</v>
      </c>
      <c r="BR71" s="90">
        <f>BU34</f>
        <v>4.2223492485076461E-3</v>
      </c>
      <c r="BS71" s="90">
        <f>BY34</f>
        <v>0.13866380624421606</v>
      </c>
      <c r="BT71" s="218">
        <f>BT34+BV34+BW34+BX34</f>
        <v>1.0379834567813568E-2</v>
      </c>
      <c r="BU71" s="90">
        <f t="shared" si="59"/>
        <v>0.99999999999999989</v>
      </c>
    </row>
    <row r="72" spans="56:73" x14ac:dyDescent="0.3">
      <c r="BD72" s="217">
        <f t="shared" si="60"/>
        <v>37113</v>
      </c>
      <c r="BE72" s="10" t="str">
        <f t="shared" si="60"/>
        <v>Vaarten hoge afdeling ZOF</v>
      </c>
      <c r="BF72" s="90"/>
      <c r="BG72" s="90">
        <f>BF35+BG35</f>
        <v>0.16879436055511379</v>
      </c>
      <c r="BH72" s="90">
        <f t="shared" si="61"/>
        <v>0</v>
      </c>
      <c r="BI72" s="90">
        <f t="shared" si="61"/>
        <v>1.863512886268155E-4</v>
      </c>
      <c r="BJ72" s="90">
        <f t="shared" si="61"/>
        <v>8.6553653030204111E-2</v>
      </c>
      <c r="BK72" s="90">
        <f t="shared" si="61"/>
        <v>7.9304430388095065E-2</v>
      </c>
      <c r="BL72" s="90">
        <f t="shared" si="61"/>
        <v>7.7531912712171538E-2</v>
      </c>
      <c r="BM72" s="90">
        <f t="shared" si="61"/>
        <v>0.36837589486379263</v>
      </c>
      <c r="BN72" s="90">
        <f>BN35+BO35+BP35</f>
        <v>2.7881376426536788E-2</v>
      </c>
      <c r="BO72" s="90">
        <f t="shared" si="62"/>
        <v>1.9083704729156787E-2</v>
      </c>
      <c r="BP72" s="90">
        <f t="shared" si="62"/>
        <v>0</v>
      </c>
      <c r="BQ72" s="90">
        <f t="shared" si="62"/>
        <v>0</v>
      </c>
      <c r="BR72" s="90">
        <f>BU35</f>
        <v>7.6730303459176696E-2</v>
      </c>
      <c r="BS72" s="90">
        <f>BY35</f>
        <v>5.7008371342746555E-2</v>
      </c>
      <c r="BT72" s="218">
        <f>BT35+BV35+BW35+BX35</f>
        <v>3.8549641204379183E-2</v>
      </c>
      <c r="BU72" s="90">
        <f t="shared" si="59"/>
        <v>0.99999999999999989</v>
      </c>
    </row>
    <row r="73" spans="56:73" x14ac:dyDescent="0.3">
      <c r="BD73" s="217">
        <f t="shared" si="60"/>
        <v>37114</v>
      </c>
      <c r="BE73" s="10" t="str">
        <f t="shared" si="60"/>
        <v>Vaarten Lage afdeling ZOF</v>
      </c>
      <c r="BF73" s="90"/>
      <c r="BG73" s="90">
        <f>BF36+BG36</f>
        <v>0.16121842040752829</v>
      </c>
      <c r="BH73" s="90">
        <f t="shared" si="61"/>
        <v>0</v>
      </c>
      <c r="BI73" s="90">
        <f t="shared" si="61"/>
        <v>1.4219101615540984E-4</v>
      </c>
      <c r="BJ73" s="90">
        <f t="shared" si="61"/>
        <v>4.521403266359908E-2</v>
      </c>
      <c r="BK73" s="90">
        <f t="shared" si="61"/>
        <v>6.9143210330436577E-2</v>
      </c>
      <c r="BL73" s="90">
        <f t="shared" si="61"/>
        <v>4.0769996093588161E-2</v>
      </c>
      <c r="BM73" s="90">
        <f t="shared" si="61"/>
        <v>0.3105907996164517</v>
      </c>
      <c r="BN73" s="90">
        <f>BN36+BO36+BP36</f>
        <v>2.5695698672258547E-2</v>
      </c>
      <c r="BO73" s="90">
        <f t="shared" si="62"/>
        <v>0.20885965116711286</v>
      </c>
      <c r="BP73" s="90">
        <f t="shared" si="62"/>
        <v>2.784776481133535E-3</v>
      </c>
      <c r="BQ73" s="90">
        <f t="shared" si="62"/>
        <v>0</v>
      </c>
      <c r="BR73" s="90">
        <f>BU36</f>
        <v>5.2280136778906985E-2</v>
      </c>
      <c r="BS73" s="90">
        <f>BY36</f>
        <v>2.6522925963520159E-2</v>
      </c>
      <c r="BT73" s="218">
        <f>BT36+BV36+BW36+BX36</f>
        <v>5.67781608093086E-2</v>
      </c>
      <c r="BU73" s="90">
        <f t="shared" si="59"/>
        <v>0.99999999999999978</v>
      </c>
    </row>
    <row r="74" spans="56:73" ht="15" thickBot="1" x14ac:dyDescent="0.35">
      <c r="BD74" s="225"/>
      <c r="BE74" s="226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8"/>
    </row>
  </sheetData>
  <mergeCells count="30">
    <mergeCell ref="BD42:BF42"/>
    <mergeCell ref="BD60:BF60"/>
    <mergeCell ref="C3:F3"/>
    <mergeCell ref="G3:M3"/>
    <mergeCell ref="O3:Q3"/>
    <mergeCell ref="R3:Y3"/>
    <mergeCell ref="Z3:AB3"/>
    <mergeCell ref="C21:F21"/>
    <mergeCell ref="G21:M21"/>
    <mergeCell ref="O21:Q21"/>
    <mergeCell ref="R21:Y21"/>
    <mergeCell ref="Z21:AB21"/>
    <mergeCell ref="BD59:BT59"/>
    <mergeCell ref="AC21:AE21"/>
    <mergeCell ref="G41:J41"/>
    <mergeCell ref="AG21:AM21"/>
    <mergeCell ref="AO21:AQ21"/>
    <mergeCell ref="AR21:AY21"/>
    <mergeCell ref="AZ21:BA21"/>
    <mergeCell ref="AC3:AE3"/>
    <mergeCell ref="AG3:AM3"/>
    <mergeCell ref="AO3:AQ3"/>
    <mergeCell ref="AR3:AY3"/>
    <mergeCell ref="AZ3:BA3"/>
    <mergeCell ref="CA4:CB4"/>
    <mergeCell ref="K41:S41"/>
    <mergeCell ref="T41:U41"/>
    <mergeCell ref="V41:W41"/>
    <mergeCell ref="BD41:BT41"/>
    <mergeCell ref="CA22:CB22"/>
  </mergeCells>
  <conditionalFormatting sqref="J41:K54">
    <cfRule type="cellIs" dxfId="6" priority="10" operator="equal">
      <formula>"ja"</formula>
    </cfRule>
  </conditionalFormatting>
  <conditionalFormatting sqref="BF5:BY21">
    <cfRule type="cellIs" dxfId="5" priority="4" operator="lessThan">
      <formula>0.02</formula>
    </cfRule>
    <cfRule type="cellIs" dxfId="4" priority="5" operator="greaterThan">
      <formula>0.25</formula>
    </cfRule>
    <cfRule type="cellIs" dxfId="3" priority="6" operator="between">
      <formula>0.1</formula>
      <formula>0.25</formula>
    </cfRule>
  </conditionalFormatting>
  <conditionalFormatting sqref="BF23:BY38">
    <cfRule type="cellIs" dxfId="2" priority="1" operator="lessThan">
      <formula>0.02</formula>
    </cfRule>
    <cfRule type="cellIs" dxfId="1" priority="2" operator="greaterThan">
      <formula>0.25</formula>
    </cfRule>
    <cfRule type="cellIs" dxfId="0" priority="3" operator="between">
      <formula>0.1</formula>
      <formula>0.25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Urls xmlns="http://schemas.microsoft.com/sharepoint/v3/contenttype/forms/url">
  <Edit>_layouts/15/SPListForm.aspx?PageType=6</Edit>
  <EditComponentId>88e64ebc-5e8b-4d34-bc49-78c6a7898f0e</EditComponentId>
  <NewComponentId>&amp;lt;FormUrls xmlns="http://schemas.microsoft.com/sharepoint/v3/contenttype/forms/url"&amp;gt;&amp;lt;Edit&amp;gt;_layouts/15/SPListForm.aspx?PageType=6&amp;lt;/Edit&amp;gt;&amp;lt;EditComponentId&amp;gt;88e64ebc-5e8b-4d34-bc49-78c6a7898f0e&amp;lt;/EditComponentId&amp;gt;&amp;lt;DisplayFormTarget&amp;gt;NewWindow&amp;lt;/DisplayFormTarget&amp;gt;&amp;lt;EditFormTarget&amp;gt;NewWindow&amp;lt;/EditFormTarget&amp;gt;&amp;lt;NewFormTarget&amp;gt;NewWindow&amp;lt;/NewFormTarget&amp;gt;&amp;lt;/FormUrls&amp;gt;</NewComponentId>
  <DisplayFormTarget>NewWindow</DisplayFormTarget>
  <EditFormTarget>NewWindow</EditFormTarget>
  <NewFormTarget>NewWindow</NewFormTarget>
</FormUrl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175E1A50EFE658448B3CA03ECC91CF440065CFD5FDEAEBC74B9A09E1F59F08B8E9" ma:contentTypeVersion="56" ma:contentTypeDescription="Een nieuw document maken." ma:contentTypeScope="" ma:versionID="c25afeea4a33bae8f1f61f03b70e964c">
  <xsd:schema xmlns:xsd="http://www.w3.org/2001/XMLSchema" xmlns:xs="http://www.w3.org/2001/XMLSchema" xmlns:p="http://schemas.microsoft.com/office/2006/metadata/properties" xmlns:ns1="http://schemas.microsoft.com/sharepoint/v3" xmlns:ns2="a16f362e-6192-4b5b-90bb-17561aa11c9d" xmlns:ns3="22d40de6-64c0-4628-8ac4-aeab4a26fb1f" xmlns:ns4="b5b5288e-d294-41b5-bb1b-cbebeac80b98" xmlns:ns5="http://schemas.microsoft.com/sharepoint/v4" xmlns:ns6="6decdb89-24cf-4814-a3cb-f5ada4a8aae9" xmlns:ns7="cdd9013c-d931-4a64-83d1-4d05f82898a7" targetNamespace="http://schemas.microsoft.com/office/2006/metadata/properties" ma:root="true" ma:fieldsID="ad16b3445816c8ed6df6077cbb3f179b" ns1:_="" ns2:_="" ns3:_="" ns4:_="" ns5:_="" ns6:_="" ns7:_="">
    <xsd:import namespace="http://schemas.microsoft.com/sharepoint/v3"/>
    <xsd:import namespace="a16f362e-6192-4b5b-90bb-17561aa11c9d"/>
    <xsd:import namespace="22d40de6-64c0-4628-8ac4-aeab4a26fb1f"/>
    <xsd:import namespace="b5b5288e-d294-41b5-bb1b-cbebeac80b98"/>
    <xsd:import namespace="http://schemas.microsoft.com/sharepoint/v4"/>
    <xsd:import namespace="6decdb89-24cf-4814-a3cb-f5ada4a8aae9"/>
    <xsd:import namespace="cdd9013c-d931-4a64-83d1-4d05f82898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ms_MimeType" minOccurs="0"/>
                <xsd:element ref="ns3:dms_Taal" minOccurs="0"/>
                <xsd:element ref="ns3:dms_Vertrouwelijkheidsaanduiding" minOccurs="0"/>
                <xsd:element ref="ns3:dms_refDocId" minOccurs="0"/>
                <xsd:element ref="ns3:dms_Auteur" minOccurs="0"/>
                <xsd:element ref="ns3:dms_Formaat" minOccurs="0"/>
                <xsd:element ref="ns3:dms_DocumentType" minOccurs="0"/>
                <xsd:element ref="ns3:dms_Omschrijving" minOccurs="0"/>
                <xsd:element ref="ns3:dms_Documentstatus" minOccurs="0"/>
                <xsd:element ref="ns3:dms_Ontvangstdatum" minOccurs="0"/>
                <xsd:element ref="ns3:dms_Verzenddatum" minOccurs="0"/>
                <xsd:element ref="ns3:dms_Documentdatum" minOccurs="0"/>
                <xsd:element ref="ns3:dms_DctOmschrijving" minOccurs="0"/>
                <xsd:element ref="ns3:dms_CheckOutUser" minOccurs="0"/>
                <xsd:element ref="ns3:dms_CheckOutId" minOccurs="0"/>
                <xsd:element ref="ns3:dms_BerichtNummer" minOccurs="0"/>
                <xsd:element ref="ns3:dms_Created" minOccurs="0"/>
                <xsd:element ref="ns3:dms_CreatedBy" minOccurs="0"/>
                <xsd:element ref="ns3:dms_SkipPdf" minOccurs="0"/>
                <xsd:element ref="ns3:dms_Agendastuk" minOccurs="0"/>
                <xsd:element ref="ns3:dms_Publiceren" minOccurs="0"/>
                <xsd:element ref="ns3:HideFromDelve" minOccurs="0"/>
                <xsd:element ref="ns1:_vti_ItemDeclaredRecord" minOccurs="0"/>
                <xsd:element ref="ns3:dms_ZaakNummer" minOccurs="0"/>
                <xsd:element ref="ns4:MediaServiceMetadata" minOccurs="0"/>
                <xsd:element ref="ns4:MediaServiceFastMetadata" minOccurs="0"/>
                <xsd:element ref="ns5:IconOverlay" minOccurs="0"/>
                <xsd:element ref="ns1:_vti_ItemHoldRecordStatus" minOccurs="0"/>
                <xsd:element ref="ns4:lcf76f155ced4ddcb4097134ff3c332f" minOccurs="0"/>
                <xsd:element ref="ns6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  <xsd:element ref="ns7:SharedWithUsers" minOccurs="0"/>
                <xsd:element ref="ns7:SharedWithDetails" minOccurs="0"/>
                <xsd:element ref="ns4:ValidSignStatus" minOccurs="0"/>
                <xsd:element ref="ns4:ValidSignTransactionId" minOccurs="0"/>
                <xsd:element ref="ns4:MediaServiceDateTaken" minOccurs="0"/>
                <xsd:element ref="ns6:d79d3999a3d74111b52f60fe95dd917b" minOccurs="0"/>
                <xsd:element ref="ns4:Vergaderdatum" minOccurs="0"/>
                <xsd:element ref="ns4:MediaServiceLocation" minOccurs="0"/>
                <xsd:element ref="ns4:MediaServiceBillingMetadata" minOccurs="0"/>
                <xsd:element ref="ns3:dms_BeginGeldigheid" minOccurs="0"/>
                <xsd:element ref="ns3:dms_BeginGeldigheidOnv" minOccurs="0"/>
                <xsd:element ref="ns3:dms_EindGeldigheid" minOccurs="0"/>
                <xsd:element ref="ns3:dms_EindGeldigheidOnv" minOccurs="0"/>
                <xsd:element ref="ns3:dms_Bot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3" nillable="true" ma:displayName="Gedeclareerde record" ma:hidden="true" ma:internalName="_vti_ItemDeclaredRecord" ma:readOnly="true">
      <xsd:simpleType>
        <xsd:restriction base="dms:DateTime"/>
      </xsd:simpleType>
    </xsd:element>
    <xsd:element name="_vti_ItemHoldRecordStatus" ma:index="38" nillable="true" ma:displayName="Status van bewaring en record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f362e-6192-4b5b-90bb-17561aa11c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40de6-64c0-4628-8ac4-aeab4a26fb1f" elementFormDefault="qualified">
    <xsd:import namespace="http://schemas.microsoft.com/office/2006/documentManagement/types"/>
    <xsd:import namespace="http://schemas.microsoft.com/office/infopath/2007/PartnerControls"/>
    <xsd:element name="dms_MimeType" ma:index="11" nillable="true" ma:displayName="MimeType" ma:internalName="dms_MimeType">
      <xsd:simpleType>
        <xsd:restriction base="dms:Text">
          <xsd:maxLength value="255"/>
        </xsd:restriction>
      </xsd:simpleType>
    </xsd:element>
    <xsd:element name="dms_Taal" ma:index="12" nillable="true" ma:displayName="Taal (document)" ma:internalName="dms_Taal">
      <xsd:simpleType>
        <xsd:restriction base="dms:Text">
          <xsd:maxLength value="255"/>
        </xsd:restriction>
      </xsd:simpleType>
    </xsd:element>
    <xsd:element name="dms_Vertrouwelijkheidsaanduiding" ma:index="13" nillable="true" ma:displayName="Vertrouwelijkheid" ma:internalName="dms_Vertrouwelijkheidsaanduiding" ma:readOnly="false">
      <xsd:simpleType>
        <xsd:restriction base="dms:Text">
          <xsd:maxLength value="255"/>
        </xsd:restriction>
      </xsd:simpleType>
    </xsd:element>
    <xsd:element name="dms_refDocId" ma:index="14" nillable="true" ma:displayName="Origineel" ma:description="Permanente referentie naar het originele document." ma:hidden="true" ma:internalName="dms_refDocId" ma:readOnly="false">
      <xsd:simpleType>
        <xsd:restriction base="dms:Text"/>
      </xsd:simpleType>
    </xsd:element>
    <xsd:element name="dms_Auteur" ma:index="15" nillable="true" ma:displayName="Auteur" ma:description="Auteur van het document" ma:internalName="dms_Auteur" ma:readOnly="false">
      <xsd:simpleType>
        <xsd:restriction base="dms:Text"/>
      </xsd:simpleType>
    </xsd:element>
    <xsd:element name="dms_Formaat" ma:index="16" nillable="true" ma:displayName="Formaat" ma:description="Formaat van het document" ma:internalName="dms_Formaat" ma:readOnly="false">
      <xsd:simpleType>
        <xsd:restriction base="dms:Text"/>
      </xsd:simpleType>
    </xsd:element>
    <xsd:element name="dms_DocumentType" ma:index="17" nillable="true" ma:displayName="Documenttype" ma:description="Documenttype" ma:internalName="dms_DocumentType" ma:readOnly="false">
      <xsd:simpleType>
        <xsd:restriction base="dms:Text"/>
      </xsd:simpleType>
    </xsd:element>
    <xsd:element name="dms_Omschrijving" ma:index="18" nillable="true" ma:displayName="Omschrijving" ma:description="Omschrijving" ma:internalName="dms_Omschrijving" ma:readOnly="false">
      <xsd:simpleType>
        <xsd:restriction base="dms:Text"/>
      </xsd:simpleType>
    </xsd:element>
    <xsd:element name="dms_Documentstatus" ma:index="19" nillable="true" ma:displayName="Documentstatus" ma:description="Documentstatus" ma:hidden="true" ma:internalName="dms_Documentstatus" ma:readOnly="false">
      <xsd:simpleType>
        <xsd:restriction base="dms:Text"/>
      </xsd:simpleType>
    </xsd:element>
    <xsd:element name="dms_Ontvangstdatum" ma:index="20" nillable="true" ma:displayName="Ontvangstdatum" ma:description="Ontvangstdatum" ma:format="DateTime" ma:hidden="true" ma:internalName="dms_Ontvangstdatum" ma:readOnly="false">
      <xsd:simpleType>
        <xsd:restriction base="dms:DateTime"/>
      </xsd:simpleType>
    </xsd:element>
    <xsd:element name="dms_Verzenddatum" ma:index="21" nillable="true" ma:displayName="Verzenddatum" ma:description="Verzenddatum" ma:format="DateTime" ma:internalName="dms_Verzenddatum" ma:readOnly="false">
      <xsd:simpleType>
        <xsd:restriction base="dms:DateTime"/>
      </xsd:simpleType>
    </xsd:element>
    <xsd:element name="dms_Documentdatum" ma:index="22" nillable="true" ma:displayName="Documentdatum" ma:description="Documentdatum" ma:format="DateTime" ma:hidden="true" ma:internalName="dms_Documentdatum" ma:readOnly="false">
      <xsd:simpleType>
        <xsd:restriction base="dms:DateTime"/>
      </xsd:simpleType>
    </xsd:element>
    <xsd:element name="dms_DctOmschrijving" ma:index="23" nillable="true" ma:displayName="DCT Omschrijving" ma:description="Documenttype Omschrijving" ma:hidden="true" ma:internalName="dms_DctOmschrijving" ma:readOnly="false">
      <xsd:simpleType>
        <xsd:restriction base="dms:Text"/>
      </xsd:simpleType>
    </xsd:element>
    <xsd:element name="dms_CheckOutUser" ma:index="24" nillable="true" ma:displayName="Uitgecheckt door (StUF)" ma:description="Uitgecheckt door (StUF)" ma:hidden="true" ma:internalName="dms_CheckOutUser" ma:readOnly="false">
      <xsd:simpleType>
        <xsd:restriction base="dms:Text"/>
      </xsd:simpleType>
    </xsd:element>
    <xsd:element name="dms_CheckOutId" ma:index="25" nillable="true" ma:displayName="Checkout ID" ma:description="Checkout ID" ma:hidden="true" ma:internalName="dms_CheckOutId" ma:readOnly="false">
      <xsd:simpleType>
        <xsd:restriction base="dms:Text"/>
      </xsd:simpleType>
    </xsd:element>
    <xsd:element name="dms_BerichtNummer" ma:index="26" nillable="true" ma:displayName="Berichtnummer" ma:indexed="true" ma:internalName="dms_BerichtNummer" ma:readOnly="false">
      <xsd:simpleType>
        <xsd:restriction base="dms:Text">
          <xsd:maxLength value="255"/>
        </xsd:restriction>
      </xsd:simpleType>
    </xsd:element>
    <xsd:element name="dms_Created" ma:index="27" nillable="true" ma:displayName="Gemaakt op (DMS)" ma:format="DateTime" ma:hidden="true" ma:internalName="dms_Created" ma:readOnly="false">
      <xsd:simpleType>
        <xsd:restriction base="dms:DateTime"/>
      </xsd:simpleType>
    </xsd:element>
    <xsd:element name="dms_CreatedBy" ma:index="28" nillable="true" ma:displayName="Gemaakt door (DMS)" ma:description="Oorspronkelijke uploader" ma:hidden="true" ma:internalName="dms_CreatedBy" ma:readOnly="false">
      <xsd:simpleType>
        <xsd:restriction base="dms:Text"/>
      </xsd:simpleType>
    </xsd:element>
    <xsd:element name="dms_SkipPdf" ma:index="29" nillable="true" ma:displayName="Geen auto PDF-A" ma:description="Optie om het automatisch PDF-A aanmaken over te slaan" ma:hidden="true" ma:internalName="dms_SkipPdf" ma:readOnly="false">
      <xsd:simpleType>
        <xsd:restriction base="dms:Boolean"/>
      </xsd:simpleType>
    </xsd:element>
    <xsd:element name="dms_Agendastuk" ma:index="30" nillable="true" ma:displayName="Agendastuk" ma:default="0" ma:description="Document is beschikbaar voor publicatie in externe agenda of vergader-app" ma:hidden="true" ma:internalName="dms_Agendastuk" ma:readOnly="false">
      <xsd:simpleType>
        <xsd:restriction base="dms:Boolean"/>
      </xsd:simpleType>
    </xsd:element>
    <xsd:element name="dms_Publiceren" ma:index="31" nillable="true" ma:displayName="Publiceren" ma:description="Document is beschikbaar voor publicatie in externe site of PIP" ma:hidden="true" ma:internalName="dms_Publiceren" ma:readOnly="false">
      <xsd:simpleType>
        <xsd:restriction base="dms:Boolean"/>
      </xsd:simpleType>
    </xsd:element>
    <xsd:element name="HideFromDelve" ma:index="32" nillable="true" ma:displayName="HideFromDelve" ma:default="1" ma:description="Hide from Delve" ma:hidden="true" ma:internalName="HideFromDelve" ma:readOnly="false">
      <xsd:simpleType>
        <xsd:restriction base="dms:Boolean"/>
      </xsd:simpleType>
    </xsd:element>
    <xsd:element name="dms_ZaakNummer" ma:index="34" nillable="true" ma:displayName="Zaaknummer" ma:indexed="true" ma:internalName="dms_ZaakNummer">
      <xsd:simpleType>
        <xsd:restriction base="dms:Text">
          <xsd:maxLength value="255"/>
        </xsd:restriction>
      </xsd:simpleType>
    </xsd:element>
    <xsd:element name="dms_BeginGeldigheid" ma:index="56" nillable="true" ma:displayName="Begin geldigheid (STUF)" ma:description="Begin geldigheid (StUF)" ma:format="DateTime" ma:hidden="true" ma:internalName="dms_BeginGeldigheid" ma:readOnly="false">
      <xsd:simpleType>
        <xsd:restriction base="dms:DateTime"/>
      </xsd:simpleType>
    </xsd:element>
    <xsd:element name="dms_BeginGeldigheidOnv" ma:index="57" nillable="true" ma:displayName="Begin geldigheid onvolledig(STUF)" ma:description="Begin geldigheid onvolledig (StUF)" ma:hidden="true" ma:internalName="dms_BeginGeldigheidOnv" ma:readOnly="false">
      <xsd:simpleType>
        <xsd:restriction base="dms:Text"/>
      </xsd:simpleType>
    </xsd:element>
    <xsd:element name="dms_EindGeldigheid" ma:index="58" nillable="true" ma:displayName="Eind geldigheid (STUF)" ma:description="Eind geldigheid (StUF)" ma:format="DateTime" ma:hidden="true" ma:internalName="dms_EindGeldigheid" ma:readOnly="false">
      <xsd:simpleType>
        <xsd:restriction base="dms:DateTime"/>
      </xsd:simpleType>
    </xsd:element>
    <xsd:element name="dms_EindGeldigheidOnv" ma:index="59" nillable="true" ma:displayName="Eind geldigheid onvolledig(STUF)" ma:description="Eind geldigheid onvolledig (StUF)" ma:hidden="true" ma:internalName="dms_EindGeldigheidOnv" ma:readOnly="false">
      <xsd:simpleType>
        <xsd:restriction base="dms:Text"/>
      </xsd:simpleType>
    </xsd:element>
    <xsd:element name="dms_BotData" ma:index="60" nillable="true" ma:displayName="Bot overschrijfdata" ma:description="Gebruikte Onegov merge bot data om document te genereren" ma:internalName="dms_BotData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5288e-d294-41b5-bb1b-cbebeac80b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40" nillable="true" ma:taxonomy="true" ma:internalName="lcf76f155ced4ddcb4097134ff3c332f" ma:taxonomyFieldName="MediaServiceImageTags" ma:displayName="Afbeeldingtags" ma:readOnly="false" ma:fieldId="{5cf76f15-5ced-4ddc-b409-7134ff3c332f}" ma:taxonomyMulti="true" ma:sspId="41014959-3702-42b8-a114-51930b2cea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SignStatus" ma:index="49" nillable="true" ma:displayName="ValidSign Status" ma:indexed="true" ma:internalName="ValidSignStatus">
      <xsd:simpleType>
        <xsd:restriction base="dms:Text">
          <xsd:maxLength value="255"/>
        </xsd:restriction>
      </xsd:simpleType>
    </xsd:element>
    <xsd:element name="ValidSignTransactionId" ma:index="50" nillable="true" ma:displayName="ValidSign Transaction" ma:indexed="true" ma:internalName="ValidSignTransactionId">
      <xsd:simpleType>
        <xsd:restriction base="dms:Text">
          <xsd:maxLength value="255"/>
        </xsd:restriction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Vergaderdatum" ma:index="53" nillable="true" ma:displayName="Vergaderdatum" ma:format="Dropdown" ma:internalName="Vergaderdatum">
      <xsd:simpleType>
        <xsd:restriction base="dms:Text">
          <xsd:maxLength value="255"/>
        </xsd:restriction>
      </xsd:simpleType>
    </xsd:element>
    <xsd:element name="MediaServiceLocation" ma:index="5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5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cdb89-24cf-4814-a3cb-f5ada4a8aae9" elementFormDefault="qualified">
    <xsd:import namespace="http://schemas.microsoft.com/office/2006/documentManagement/types"/>
    <xsd:import namespace="http://schemas.microsoft.com/office/infopath/2007/PartnerControls"/>
    <xsd:element name="TaxCatchAll" ma:index="41" nillable="true" ma:displayName="Taxonomy Catch All Column" ma:hidden="true" ma:list="{bb8861ef-673d-4efa-9298-84267be22a7d}" ma:internalName="TaxCatchAll" ma:showField="CatchAllData" ma:web="cdd9013c-d931-4a64-83d1-4d05f82898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79d3999a3d74111b52f60fe95dd917b" ma:index="52" nillable="true" ma:displayName="Documenttype_0" ma:hidden="true" ma:internalName="d79d3999a3d74111b52f60fe95dd917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9013c-d931-4a64-83d1-4d05f82898a7" elementFormDefault="qualified">
    <xsd:import namespace="http://schemas.microsoft.com/office/2006/documentManagement/types"/>
    <xsd:import namespace="http://schemas.microsoft.com/office/infopath/2007/PartnerControls"/>
    <xsd:element name="SharedWithUsers" ma:index="4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ecdb89-24cf-4814-a3cb-f5ada4a8aae9" xsi:nil="true"/>
    <lcf76f155ced4ddcb4097134ff3c332f xmlns="b5b5288e-d294-41b5-bb1b-cbebeac80b98">
      <Terms xmlns="http://schemas.microsoft.com/office/infopath/2007/PartnerControls"/>
    </lcf76f155ced4ddcb4097134ff3c332f>
    <_dlc_DocId xmlns="a16f362e-6192-4b5b-90bb-17561aa11c9d">4SKAANKD6RAQ-512186477-20449</_dlc_DocId>
    <_dlc_DocIdUrl xmlns="a16f362e-6192-4b5b-90bb-17561aa11c9d">
      <Url>https://zuiderzeeland.sharepoint.com/sites/dms/_layouts/15/DocIdRedir.aspx?ID=4SKAANKD6RAQ-512186477-20449</Url>
      <Description>4SKAANKD6RAQ-512186477-20449</Description>
    </_dlc_DocIdUrl>
    <dms_CreatedBy xmlns="22d40de6-64c0-4628-8ac4-aeab4a26fb1f" xsi:nil="true"/>
    <HideFromDelve xmlns="22d40de6-64c0-4628-8ac4-aeab4a26fb1f">true</HideFromDelve>
    <dms_Created xmlns="22d40de6-64c0-4628-8ac4-aeab4a26fb1f" xsi:nil="true"/>
    <dms_Vertrouwelijkheidsaanduiding xmlns="22d40de6-64c0-4628-8ac4-aeab4a26fb1f" xsi:nil="true"/>
    <dms_BerichtNummer xmlns="22d40de6-64c0-4628-8ac4-aeab4a26fb1f" xsi:nil="true"/>
    <dms_MimeType xmlns="22d40de6-64c0-4628-8ac4-aeab4a26fb1f" xsi:nil="true"/>
    <dms_Auteur xmlns="22d40de6-64c0-4628-8ac4-aeab4a26fb1f" xsi:nil="true"/>
    <dms_DctOmschrijving xmlns="22d40de6-64c0-4628-8ac4-aeab4a26fb1f" xsi:nil="true"/>
    <dms_refDocId xmlns="22d40de6-64c0-4628-8ac4-aeab4a26fb1f" xsi:nil="true"/>
    <dms_BotData xmlns="22d40de6-64c0-4628-8ac4-aeab4a26fb1f" xsi:nil="true"/>
    <dms_Omschrijving xmlns="22d40de6-64c0-4628-8ac4-aeab4a26fb1f" xsi:nil="true"/>
    <dms_Ontvangstdatum xmlns="22d40de6-64c0-4628-8ac4-aeab4a26fb1f" xsi:nil="true"/>
    <dms_Documentdatum xmlns="22d40de6-64c0-4628-8ac4-aeab4a26fb1f" xsi:nil="true"/>
    <dms_CheckOutId xmlns="22d40de6-64c0-4628-8ac4-aeab4a26fb1f" xsi:nil="true"/>
    <IconOverlay xmlns="http://schemas.microsoft.com/sharepoint/v4" xsi:nil="true"/>
    <d79d3999a3d74111b52f60fe95dd917b xmlns="6decdb89-24cf-4814-a3cb-f5ada4a8aae9" xsi:nil="true"/>
    <dms_Publiceren xmlns="22d40de6-64c0-4628-8ac4-aeab4a26fb1f" xsi:nil="true"/>
    <Vergaderdatum xmlns="b5b5288e-d294-41b5-bb1b-cbebeac80b98" xsi:nil="true"/>
    <dms_ZaakNummer xmlns="22d40de6-64c0-4628-8ac4-aeab4a26fb1f">1001287</dms_ZaakNummer>
    <dms_CheckOutUser xmlns="22d40de6-64c0-4628-8ac4-aeab4a26fb1f" xsi:nil="true"/>
    <dms_SkipPdf xmlns="22d40de6-64c0-4628-8ac4-aeab4a26fb1f" xsi:nil="true"/>
    <dms_Agendastuk xmlns="22d40de6-64c0-4628-8ac4-aeab4a26fb1f">false</dms_Agendastuk>
    <dms_BeginGeldigheidOnv xmlns="22d40de6-64c0-4628-8ac4-aeab4a26fb1f" xsi:nil="true"/>
    <dms_Taal xmlns="22d40de6-64c0-4628-8ac4-aeab4a26fb1f" xsi:nil="true"/>
    <dms_Formaat xmlns="22d40de6-64c0-4628-8ac4-aeab4a26fb1f" xsi:nil="true"/>
    <dms_Verzenddatum xmlns="22d40de6-64c0-4628-8ac4-aeab4a26fb1f" xsi:nil="true"/>
    <ValidSignStatus xmlns="b5b5288e-d294-41b5-bb1b-cbebeac80b98" xsi:nil="true"/>
    <dms_EindGeldigheidOnv xmlns="22d40de6-64c0-4628-8ac4-aeab4a26fb1f" xsi:nil="true"/>
    <dms_BeginGeldigheid xmlns="22d40de6-64c0-4628-8ac4-aeab4a26fb1f" xsi:nil="true"/>
    <dms_EindGeldigheid xmlns="22d40de6-64c0-4628-8ac4-aeab4a26fb1f" xsi:nil="true"/>
    <dms_Documentstatus xmlns="22d40de6-64c0-4628-8ac4-aeab4a26fb1f" xsi:nil="true"/>
    <ValidSignTransactionId xmlns="b5b5288e-d294-41b5-bb1b-cbebeac80b98" xsi:nil="true"/>
    <dms_DocumentType xmlns="22d40de6-64c0-4628-8ac4-aeab4a26fb1f" xsi:nil="true"/>
  </documentManagement>
</p:properties>
</file>

<file path=customXml/itemProps1.xml><?xml version="1.0" encoding="utf-8"?>
<ds:datastoreItem xmlns:ds="http://schemas.openxmlformats.org/officeDocument/2006/customXml" ds:itemID="{B2D1E5C1-9F12-4E1F-9916-111A642D9E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B39A5FB-FF8F-40E8-A13C-C117A55B40DF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E48888ED-EC31-419B-A7EB-E24093415C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61D164-82EC-4342-81CD-87D263A77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6f362e-6192-4b5b-90bb-17561aa11c9d"/>
    <ds:schemaRef ds:uri="22d40de6-64c0-4628-8ac4-aeab4a26fb1f"/>
    <ds:schemaRef ds:uri="b5b5288e-d294-41b5-bb1b-cbebeac80b98"/>
    <ds:schemaRef ds:uri="http://schemas.microsoft.com/sharepoint/v4"/>
    <ds:schemaRef ds:uri="6decdb89-24cf-4814-a3cb-f5ada4a8aae9"/>
    <ds:schemaRef ds:uri="cdd9013c-d931-4a64-83d1-4d05f8289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F8CF816-8409-41AE-9F81-1E2A573E1D44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22d40de6-64c0-4628-8ac4-aeab4a26fb1f"/>
    <ds:schemaRef ds:uri="http://purl.org/dc/dcmitype/"/>
    <ds:schemaRef ds:uri="http://schemas.openxmlformats.org/package/2006/metadata/core-properties"/>
    <ds:schemaRef ds:uri="cdd9013c-d931-4a64-83d1-4d05f82898a7"/>
    <ds:schemaRef ds:uri="http://schemas.microsoft.com/office/2006/metadata/properties"/>
    <ds:schemaRef ds:uri="6decdb89-24cf-4814-a3cb-f5ada4a8aae9"/>
    <ds:schemaRef ds:uri="http://schemas.microsoft.com/sharepoint/v4"/>
    <ds:schemaRef ds:uri="http://schemas.microsoft.com/office/2006/documentManagement/types"/>
    <ds:schemaRef ds:uri="b5b5288e-d294-41b5-bb1b-cbebeac80b98"/>
    <ds:schemaRef ds:uri="a16f362e-6192-4b5b-90bb-17561aa11c9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zomer2017-2022</vt:lpstr>
      <vt:lpstr>jaar2017-2022</vt:lpstr>
      <vt:lpstr>zomer2010-2016</vt:lpstr>
      <vt:lpstr>jaar2010-2016</vt:lpstr>
    </vt:vector>
  </TitlesOfParts>
  <Manager/>
  <Company>Wageningen University and Research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tabel WEnR berekening ZZL balansen 2017-2022 en 2010-2016 januari 2026</dc:title>
  <dc:subject/>
  <dc:creator>Schipper, Peter</dc:creator>
  <cp:keywords/>
  <dc:description/>
  <cp:lastModifiedBy>Bouwhuis, Harry</cp:lastModifiedBy>
  <cp:revision/>
  <dcterms:created xsi:type="dcterms:W3CDTF">2026-01-22T11:21:19Z</dcterms:created>
  <dcterms:modified xsi:type="dcterms:W3CDTF">2026-01-28T10:30:04Z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0x010100175E1A50EFE658448B3CA03ECC91CF440065CFD5FDEAEBC74B9A09E1F59F08B8E9</vt:lpwstr>
  </property>
  <property fmtid="{D5CDD505-2E9C-101B-9397-08002B2CF9AE}" pid="3" name="MediaServiceImageTags">
    <vt:lpwstr/>
  </property>
  <property fmtid="{D5CDD505-2E9C-101B-9397-08002B2CF9AE}" pid="4" name="_dlc_DocIdItemGuid">
    <vt:lpwstr>b3078eff-b585-40b0-991b-3f878521c111</vt:lpwstr>
  </property>
  <property fmtid="{D5CDD505-2E9C-101B-9397-08002B2CF9AE}" pid="5" name="Documenttype">
    <vt:lpwstr/>
  </property>
</Properties>
</file>