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mc:AlternateContent xmlns:mc="http://schemas.openxmlformats.org/markup-compatibility/2006">
    <mc:Choice Requires="x15">
      <x15ac:absPath xmlns:x15ac="http://schemas.microsoft.com/office/spreadsheetml/2010/11/ac" url="https://zuiderzeeland.sharepoint.com/sites/dms/Zaken/Voorstel/1001287/AB 10 februari 2026/AB 10 februari Achtergronddocumenten voor link/"/>
    </mc:Choice>
  </mc:AlternateContent>
  <xr:revisionPtr revIDLastSave="1" documentId="13_ncr:1_{AA716491-A582-4FE3-B7B6-0662B6691B9F}" xr6:coauthVersionLast="47" xr6:coauthVersionMax="47" xr10:uidLastSave="{F97131E1-5796-4BA2-B360-AF2CC5474804}"/>
  <bookViews>
    <workbookView xWindow="-108" yWindow="-108" windowWidth="23256" windowHeight="12456" tabRatio="744" xr2:uid="{8C171AAD-4237-44C0-82AC-E3D94CC2C4CE}"/>
  </bookViews>
  <sheets>
    <sheet name="Toelichting" sheetId="27" r:id="rId1"/>
    <sheet name="Sheet" sheetId="2" r:id="rId2"/>
    <sheet name="Samenvatting" sheetId="18" r:id="rId3"/>
    <sheet name="WLs" sheetId="1" r:id="rId4"/>
    <sheet name="Fytoplankton" sheetId="5" r:id="rId5"/>
    <sheet name="Vegetatie" sheetId="6" r:id="rId6"/>
    <sheet name="Macrofauna" sheetId="7" r:id="rId7"/>
    <sheet name="Vis" sheetId="8" r:id="rId8"/>
    <sheet name="Bronnen N" sheetId="9" r:id="rId9"/>
    <sheet name="Bronnen P" sheetId="12" r:id="rId10"/>
    <sheet name="P" sheetId="3" r:id="rId11"/>
    <sheet name="N" sheetId="4" r:id="rId12"/>
    <sheet name="Cl" sheetId="14" r:id="rId13"/>
    <sheet name="DZ" sheetId="10" r:id="rId14"/>
    <sheet name="O2" sheetId="11" r:id="rId15"/>
    <sheet name="pH" sheetId="15" r:id="rId16"/>
    <sheet name="ESF1" sheetId="19" r:id="rId17"/>
    <sheet name="ESF2" sheetId="20" r:id="rId18"/>
    <sheet name="ESF3" sheetId="21" r:id="rId19"/>
    <sheet name="ESF4" sheetId="22" r:id="rId20"/>
    <sheet name="ESF5" sheetId="23" r:id="rId21"/>
    <sheet name="ESF6" sheetId="24" r:id="rId22"/>
    <sheet name="ESF7" sheetId="25" r:id="rId23"/>
    <sheet name="ESF8" sheetId="26" r:id="rId24"/>
    <sheet name="Iconen ESFs" sheetId="16"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4" i="2" l="1"/>
  <c r="D163" i="2"/>
  <c r="D162" i="2"/>
  <c r="D161" i="2"/>
  <c r="G116" i="2"/>
  <c r="B116" i="2"/>
  <c r="U121" i="2"/>
  <c r="U120" i="2"/>
  <c r="U119" i="2"/>
  <c r="U118" i="2"/>
  <c r="V116" i="2"/>
  <c r="W116" i="2" s="1"/>
  <c r="X116" i="2" s="1"/>
  <c r="Y116" i="2" s="1"/>
  <c r="Z116" i="2" s="1"/>
  <c r="AA116" i="2" s="1"/>
  <c r="AB116" i="2" s="1"/>
  <c r="AC116" i="2" s="1"/>
  <c r="AD116" i="2" s="1"/>
  <c r="AE116" i="2" s="1"/>
  <c r="AF116" i="2" s="1"/>
  <c r="AG116" i="2" s="1"/>
  <c r="AH116" i="2" s="1"/>
  <c r="AI116" i="2" s="1"/>
  <c r="AJ116" i="2" s="1"/>
  <c r="AK116" i="2" s="1"/>
  <c r="AL116" i="2" s="1"/>
  <c r="AM116" i="2" s="1"/>
  <c r="AN116" i="2" s="1"/>
  <c r="AJ21" i="18"/>
  <c r="AK18" i="18"/>
  <c r="AL17" i="18"/>
  <c r="AJ17" i="18"/>
  <c r="AL6" i="18"/>
  <c r="AJ6" i="18"/>
  <c r="AI18" i="18"/>
  <c r="AI16" i="18"/>
  <c r="AD24" i="18"/>
  <c r="AL24" i="18" s="1"/>
  <c r="AC24" i="18"/>
  <c r="AK24" i="18" s="1"/>
  <c r="AB24" i="18"/>
  <c r="AJ24" i="18" s="1"/>
  <c r="AA24" i="18"/>
  <c r="AI24" i="18" s="1"/>
  <c r="AD23" i="18"/>
  <c r="AL23" i="18" s="1"/>
  <c r="AC23" i="18"/>
  <c r="AK23" i="18" s="1"/>
  <c r="AB23" i="18"/>
  <c r="AJ23" i="18" s="1"/>
  <c r="AA23" i="18"/>
  <c r="AI23" i="18" s="1"/>
  <c r="AD22" i="18"/>
  <c r="AL22" i="18" s="1"/>
  <c r="AC22" i="18"/>
  <c r="AK22" i="18" s="1"/>
  <c r="AB22" i="18"/>
  <c r="AJ22" i="18" s="1"/>
  <c r="AA22" i="18"/>
  <c r="AI22" i="18" s="1"/>
  <c r="AD21" i="18"/>
  <c r="AL21" i="18" s="1"/>
  <c r="AC21" i="18"/>
  <c r="AK21" i="18" s="1"/>
  <c r="AB21" i="18"/>
  <c r="AA21" i="18"/>
  <c r="AI21" i="18" s="1"/>
  <c r="AD20" i="18"/>
  <c r="AL20" i="18" s="1"/>
  <c r="AC20" i="18"/>
  <c r="AK20" i="18" s="1"/>
  <c r="AB20" i="18"/>
  <c r="AJ20" i="18" s="1"/>
  <c r="AA20" i="18"/>
  <c r="AI20" i="18" s="1"/>
  <c r="AD19" i="18"/>
  <c r="AL19" i="18" s="1"/>
  <c r="AC19" i="18"/>
  <c r="AK19" i="18" s="1"/>
  <c r="AB19" i="18"/>
  <c r="AJ19" i="18" s="1"/>
  <c r="AA19" i="18"/>
  <c r="AI19" i="18" s="1"/>
  <c r="AD18" i="18"/>
  <c r="AL18" i="18" s="1"/>
  <c r="AC18" i="18"/>
  <c r="AB18" i="18"/>
  <c r="AJ18" i="18" s="1"/>
  <c r="AA18" i="18"/>
  <c r="AC17" i="18"/>
  <c r="AK17" i="18" s="1"/>
  <c r="AB17" i="18"/>
  <c r="AA17" i="18"/>
  <c r="AI17" i="18" s="1"/>
  <c r="AD16" i="18"/>
  <c r="AL16" i="18" s="1"/>
  <c r="AC16" i="18"/>
  <c r="AK16" i="18" s="1"/>
  <c r="AB16" i="18"/>
  <c r="AJ16" i="18" s="1"/>
  <c r="AA16" i="18"/>
  <c r="AD15" i="18"/>
  <c r="AL15" i="18" s="1"/>
  <c r="AC15" i="18"/>
  <c r="AK15" i="18" s="1"/>
  <c r="AB15" i="18"/>
  <c r="AJ15" i="18" s="1"/>
  <c r="AA15" i="18"/>
  <c r="AI15" i="18" s="1"/>
  <c r="AD14" i="18"/>
  <c r="AL14" i="18" s="1"/>
  <c r="AC14" i="18"/>
  <c r="AK14" i="18" s="1"/>
  <c r="AB14" i="18"/>
  <c r="AJ14" i="18" s="1"/>
  <c r="AA14" i="18"/>
  <c r="AI14" i="18" s="1"/>
  <c r="AD13" i="18"/>
  <c r="AL13" i="18" s="1"/>
  <c r="AC13" i="18"/>
  <c r="AK13" i="18" s="1"/>
  <c r="AB13" i="18"/>
  <c r="AJ13" i="18" s="1"/>
  <c r="AA13" i="18"/>
  <c r="AD12" i="18"/>
  <c r="AL12" i="18" s="1"/>
  <c r="AC12" i="18"/>
  <c r="AK12" i="18" s="1"/>
  <c r="AB12" i="18"/>
  <c r="AJ12" i="18" s="1"/>
  <c r="AA12" i="18"/>
  <c r="AD11" i="18"/>
  <c r="AL11" i="18" s="1"/>
  <c r="AC11" i="18"/>
  <c r="AK11" i="18" s="1"/>
  <c r="AB11" i="18"/>
  <c r="AJ11" i="18" s="1"/>
  <c r="AA11" i="18"/>
  <c r="AD10" i="18"/>
  <c r="AL10" i="18" s="1"/>
  <c r="AC10" i="18"/>
  <c r="AK10" i="18" s="1"/>
  <c r="AB10" i="18"/>
  <c r="AJ10" i="18" s="1"/>
  <c r="AA10" i="18"/>
  <c r="AD9" i="18"/>
  <c r="AL9" i="18" s="1"/>
  <c r="AC9" i="18"/>
  <c r="AK9" i="18" s="1"/>
  <c r="AB9" i="18"/>
  <c r="AJ9" i="18" s="1"/>
  <c r="AA9" i="18"/>
  <c r="AD8" i="18"/>
  <c r="AC8" i="18"/>
  <c r="AB8" i="18"/>
  <c r="AA8" i="18"/>
  <c r="AD7" i="18"/>
  <c r="AC7" i="18"/>
  <c r="AB7" i="18"/>
  <c r="AA7" i="18"/>
  <c r="AD6" i="18"/>
  <c r="AC6" i="18"/>
  <c r="AK6" i="18" s="1"/>
  <c r="AB6" i="18"/>
  <c r="AA6" i="18"/>
  <c r="AD5" i="18"/>
  <c r="AL5" i="18" s="1"/>
  <c r="AC5" i="18"/>
  <c r="AK5" i="18" s="1"/>
  <c r="AB5" i="18"/>
  <c r="AJ5" i="18" s="1"/>
  <c r="AA5" i="18"/>
  <c r="Z6" i="18"/>
  <c r="Z7" i="18"/>
  <c r="Z8" i="18"/>
  <c r="Z9" i="18"/>
  <c r="Z10" i="18"/>
  <c r="Z11" i="18"/>
  <c r="Z12" i="18"/>
  <c r="Z13" i="18"/>
  <c r="Z14" i="18"/>
  <c r="Z15" i="18"/>
  <c r="Z16" i="18"/>
  <c r="Z17" i="18"/>
  <c r="Z18" i="18"/>
  <c r="Z19" i="18"/>
  <c r="Z20" i="18"/>
  <c r="Z21" i="18"/>
  <c r="Z22" i="18"/>
  <c r="Z23" i="18"/>
  <c r="Z24" i="18"/>
  <c r="Z5" i="18"/>
  <c r="CK6" i="2"/>
  <c r="BS6" i="2"/>
  <c r="BA6" i="2"/>
  <c r="AI6" i="2"/>
  <c r="P24" i="2"/>
  <c r="BB23" i="5"/>
  <c r="BB22" i="5"/>
  <c r="BB21" i="5"/>
  <c r="BB20" i="5"/>
  <c r="BB19" i="5"/>
  <c r="BB18" i="5"/>
  <c r="BB17" i="5"/>
  <c r="BB16" i="5"/>
  <c r="BB15" i="5"/>
  <c r="BB14" i="5"/>
  <c r="BB13" i="5"/>
  <c r="BB12" i="5"/>
  <c r="BB11" i="5"/>
  <c r="BB10" i="5"/>
  <c r="BB9" i="5"/>
  <c r="BB8" i="5"/>
  <c r="BB7" i="5"/>
  <c r="BB6" i="5"/>
  <c r="BB5" i="5"/>
  <c r="BB23" i="7"/>
  <c r="BB22" i="7"/>
  <c r="BB21" i="7"/>
  <c r="BB20" i="7"/>
  <c r="BB19" i="7"/>
  <c r="BB18" i="7"/>
  <c r="BB17" i="7"/>
  <c r="BB16" i="7"/>
  <c r="BB15" i="7"/>
  <c r="BB14" i="7"/>
  <c r="BB13" i="7"/>
  <c r="BB12" i="7"/>
  <c r="BB11" i="7"/>
  <c r="BB10" i="7"/>
  <c r="BB9" i="7"/>
  <c r="BB8" i="7"/>
  <c r="BB7" i="7"/>
  <c r="BB6" i="7"/>
  <c r="BB5" i="7"/>
  <c r="BB23" i="8"/>
  <c r="BB22" i="8"/>
  <c r="BB21" i="8"/>
  <c r="BB20" i="8"/>
  <c r="BB19" i="8"/>
  <c r="BB18" i="8"/>
  <c r="BB17" i="8"/>
  <c r="BB16" i="8"/>
  <c r="BB15" i="8"/>
  <c r="BB14" i="8"/>
  <c r="BB13" i="8"/>
  <c r="BB12" i="8"/>
  <c r="BB11" i="8"/>
  <c r="BB10" i="8"/>
  <c r="BB9" i="8"/>
  <c r="BB8" i="8"/>
  <c r="BB7" i="8"/>
  <c r="BB6" i="8"/>
  <c r="BB5" i="8"/>
  <c r="BB23" i="6"/>
  <c r="BB22" i="6"/>
  <c r="BB21" i="6"/>
  <c r="BB20" i="6"/>
  <c r="BB19" i="6"/>
  <c r="BB18" i="6"/>
  <c r="BB17" i="6"/>
  <c r="BB16" i="6"/>
  <c r="BB15" i="6"/>
  <c r="BB14" i="6"/>
  <c r="BB13" i="6"/>
  <c r="BB12" i="6"/>
  <c r="BB11" i="6"/>
  <c r="BB10" i="6"/>
  <c r="BB9" i="6"/>
  <c r="BB8" i="6"/>
  <c r="BB7" i="6"/>
  <c r="BB6" i="6"/>
  <c r="BB5" i="6"/>
  <c r="BB4" i="5"/>
  <c r="BB4" i="7"/>
  <c r="BB4" i="8"/>
  <c r="BB4" i="6"/>
  <c r="BC23" i="5"/>
  <c r="BC22" i="5"/>
  <c r="BC21" i="5"/>
  <c r="BC20" i="5"/>
  <c r="BC19" i="5"/>
  <c r="BC18" i="5"/>
  <c r="BC17" i="5"/>
  <c r="BC16" i="5"/>
  <c r="BC15" i="5"/>
  <c r="BC14" i="5"/>
  <c r="BC13" i="5"/>
  <c r="BC12" i="5"/>
  <c r="BC11" i="5"/>
  <c r="BC10" i="5"/>
  <c r="BC9" i="5"/>
  <c r="BC8" i="5"/>
  <c r="BC7" i="5"/>
  <c r="BC6" i="5"/>
  <c r="BC5" i="5"/>
  <c r="BC23" i="7"/>
  <c r="BC22" i="7"/>
  <c r="BC21" i="7"/>
  <c r="BC20" i="7"/>
  <c r="BC19" i="7"/>
  <c r="BC18" i="7"/>
  <c r="BC17" i="7"/>
  <c r="BC16" i="7"/>
  <c r="BC15" i="7"/>
  <c r="BC14" i="7"/>
  <c r="BC13" i="7"/>
  <c r="BC12" i="7"/>
  <c r="BC11" i="7"/>
  <c r="BC10" i="7"/>
  <c r="BC9" i="7"/>
  <c r="BC8" i="7"/>
  <c r="BC7" i="7"/>
  <c r="BC6" i="7"/>
  <c r="BC5" i="7"/>
  <c r="BC23" i="8"/>
  <c r="BC22" i="8"/>
  <c r="BC21" i="8"/>
  <c r="BC20" i="8"/>
  <c r="BC19" i="8"/>
  <c r="BC18" i="8"/>
  <c r="BC17" i="8"/>
  <c r="BC16" i="8"/>
  <c r="BC15" i="8"/>
  <c r="BC14" i="8"/>
  <c r="BC13" i="8"/>
  <c r="BC12" i="8"/>
  <c r="BC11" i="8"/>
  <c r="BC10" i="8"/>
  <c r="BC9" i="8"/>
  <c r="BC8" i="8"/>
  <c r="BC7" i="8"/>
  <c r="BC6" i="8"/>
  <c r="BC5" i="8"/>
  <c r="BC23" i="6"/>
  <c r="BC22" i="6"/>
  <c r="BC21" i="6"/>
  <c r="BC20" i="6"/>
  <c r="BC19" i="6"/>
  <c r="BC18" i="6"/>
  <c r="BC17" i="6"/>
  <c r="BC16" i="6"/>
  <c r="BC15" i="6"/>
  <c r="BC14" i="6"/>
  <c r="BC13" i="6"/>
  <c r="BC12" i="6"/>
  <c r="BC11" i="6"/>
  <c r="BC10" i="6"/>
  <c r="BC9" i="6"/>
  <c r="BC8" i="6"/>
  <c r="BC7" i="6"/>
  <c r="BC6" i="6"/>
  <c r="BC5" i="6"/>
  <c r="BC4" i="5"/>
  <c r="BC4" i="7"/>
  <c r="BC4" i="8"/>
  <c r="BC4" i="6"/>
  <c r="U89" i="2"/>
  <c r="U88" i="2"/>
  <c r="U87" i="2"/>
  <c r="U86" i="2"/>
  <c r="V84" i="2"/>
  <c r="W84" i="2" s="1"/>
  <c r="W120" i="2" s="1"/>
  <c r="D42" i="9"/>
  <c r="E42" i="9" s="1"/>
  <c r="F42" i="9" s="1"/>
  <c r="G42" i="9" s="1"/>
  <c r="H42" i="9" s="1"/>
  <c r="I42" i="9" s="1"/>
  <c r="J42" i="9" s="1"/>
  <c r="K42" i="9" s="1"/>
  <c r="L42" i="9" s="1"/>
  <c r="M42" i="9" s="1"/>
  <c r="N42" i="9" s="1"/>
  <c r="O42" i="9" s="1"/>
  <c r="P42" i="9" s="1"/>
  <c r="Q42" i="9" s="1"/>
  <c r="R42" i="9" s="1"/>
  <c r="S42" i="9" s="1"/>
  <c r="T42" i="9" s="1"/>
  <c r="U42" i="9" s="1"/>
  <c r="V42" i="9" s="1"/>
  <c r="W42" i="9" s="1"/>
  <c r="X42" i="9" s="1"/>
  <c r="Y42" i="9" s="1"/>
  <c r="Z42" i="9" s="1"/>
  <c r="AA42" i="9" s="1"/>
  <c r="AB42" i="9" s="1"/>
  <c r="AC42" i="9" s="1"/>
  <c r="AD42" i="9" s="1"/>
  <c r="AE42" i="9" s="1"/>
  <c r="AF42" i="9" s="1"/>
  <c r="AG42" i="9" s="1"/>
  <c r="AH42" i="9" s="1"/>
  <c r="AI42" i="9" s="1"/>
  <c r="AJ42" i="9" s="1"/>
  <c r="AK42" i="9" s="1"/>
  <c r="AL42" i="9" s="1"/>
  <c r="AM42" i="9" s="1"/>
  <c r="AN42" i="9" s="1"/>
  <c r="AO42" i="9" s="1"/>
  <c r="AP42" i="9" s="1"/>
  <c r="AQ42" i="9" s="1"/>
  <c r="AR42" i="9" s="1"/>
  <c r="AS42" i="9" s="1"/>
  <c r="AT42" i="9" s="1"/>
  <c r="AU42" i="9" s="1"/>
  <c r="V106" i="2"/>
  <c r="B84" i="2" s="1"/>
  <c r="B6" i="20"/>
  <c r="B7" i="20"/>
  <c r="B8" i="20"/>
  <c r="B9" i="20"/>
  <c r="B10" i="20"/>
  <c r="B11" i="20"/>
  <c r="B12" i="20"/>
  <c r="B13" i="20"/>
  <c r="B14" i="20"/>
  <c r="B15" i="20"/>
  <c r="B16" i="20"/>
  <c r="B17" i="20"/>
  <c r="B18" i="20"/>
  <c r="B19" i="20"/>
  <c r="B20" i="20"/>
  <c r="B21" i="20"/>
  <c r="B22" i="20"/>
  <c r="B23" i="20"/>
  <c r="B24" i="20"/>
  <c r="B6" i="21"/>
  <c r="B7" i="21"/>
  <c r="B8" i="21"/>
  <c r="B9" i="21"/>
  <c r="B10" i="21"/>
  <c r="B11" i="21"/>
  <c r="B12" i="21"/>
  <c r="B13" i="21"/>
  <c r="B14" i="21"/>
  <c r="B15" i="21"/>
  <c r="B16" i="21"/>
  <c r="B17" i="21"/>
  <c r="B18" i="21"/>
  <c r="B19" i="21"/>
  <c r="B20" i="21"/>
  <c r="B21" i="21"/>
  <c r="B22" i="21"/>
  <c r="B23" i="21"/>
  <c r="B24" i="21"/>
  <c r="B6" i="22"/>
  <c r="B7" i="22"/>
  <c r="B8" i="22"/>
  <c r="B9" i="22"/>
  <c r="B10" i="22"/>
  <c r="B11" i="22"/>
  <c r="B12" i="22"/>
  <c r="B13" i="22"/>
  <c r="B14" i="22"/>
  <c r="B15" i="22"/>
  <c r="B16" i="22"/>
  <c r="B17" i="22"/>
  <c r="B18" i="22"/>
  <c r="B19" i="22"/>
  <c r="B20" i="22"/>
  <c r="B21" i="22"/>
  <c r="B22" i="22"/>
  <c r="B23" i="22"/>
  <c r="B24" i="22"/>
  <c r="B6" i="23"/>
  <c r="B7" i="23"/>
  <c r="B8" i="23"/>
  <c r="B9" i="23"/>
  <c r="B10" i="23"/>
  <c r="B11" i="23"/>
  <c r="B12" i="23"/>
  <c r="B13" i="23"/>
  <c r="B14" i="23"/>
  <c r="B15" i="23"/>
  <c r="B16" i="23"/>
  <c r="B17" i="23"/>
  <c r="B18" i="23"/>
  <c r="B19" i="23"/>
  <c r="B20" i="23"/>
  <c r="B21" i="23"/>
  <c r="B22" i="23"/>
  <c r="B23" i="23"/>
  <c r="B24" i="23"/>
  <c r="B6" i="24"/>
  <c r="B7" i="24"/>
  <c r="B8" i="24"/>
  <c r="B9" i="24"/>
  <c r="B10" i="24"/>
  <c r="B11" i="24"/>
  <c r="B12" i="24"/>
  <c r="B13" i="24"/>
  <c r="B14" i="24"/>
  <c r="B15" i="24"/>
  <c r="B16" i="24"/>
  <c r="B17" i="24"/>
  <c r="B18" i="24"/>
  <c r="B19" i="24"/>
  <c r="B20" i="24"/>
  <c r="B21" i="24"/>
  <c r="B22" i="24"/>
  <c r="B23" i="24"/>
  <c r="B24" i="24"/>
  <c r="B6" i="25"/>
  <c r="B7" i="25"/>
  <c r="B8" i="25"/>
  <c r="B9" i="25"/>
  <c r="B10" i="25"/>
  <c r="B11" i="25"/>
  <c r="B12" i="25"/>
  <c r="B13" i="25"/>
  <c r="B14" i="25"/>
  <c r="B15" i="25"/>
  <c r="B16" i="25"/>
  <c r="B17" i="25"/>
  <c r="B18" i="25"/>
  <c r="B19" i="25"/>
  <c r="B20" i="25"/>
  <c r="B21" i="25"/>
  <c r="B22" i="25"/>
  <c r="B23" i="25"/>
  <c r="B24" i="25"/>
  <c r="B6" i="26"/>
  <c r="B7" i="26"/>
  <c r="B8" i="26"/>
  <c r="B9" i="26"/>
  <c r="B10" i="26"/>
  <c r="B11" i="26"/>
  <c r="B12" i="26"/>
  <c r="B13" i="26"/>
  <c r="B14" i="26"/>
  <c r="B15" i="26"/>
  <c r="B16" i="26"/>
  <c r="B17" i="26"/>
  <c r="B18" i="26"/>
  <c r="B19" i="26"/>
  <c r="B20" i="26"/>
  <c r="B21" i="26"/>
  <c r="B22" i="26"/>
  <c r="B23" i="26"/>
  <c r="B24" i="26"/>
  <c r="B6" i="19"/>
  <c r="B7" i="19"/>
  <c r="B8" i="19"/>
  <c r="B9" i="19"/>
  <c r="B10" i="19"/>
  <c r="B11" i="19"/>
  <c r="B12" i="19"/>
  <c r="B13" i="19"/>
  <c r="B14" i="19"/>
  <c r="B15" i="19"/>
  <c r="B16" i="19"/>
  <c r="B17" i="19"/>
  <c r="B18" i="19"/>
  <c r="B19" i="19"/>
  <c r="B20" i="19"/>
  <c r="B21" i="19"/>
  <c r="B22" i="19"/>
  <c r="B23" i="19"/>
  <c r="B24" i="19"/>
  <c r="B5" i="20"/>
  <c r="B5" i="21"/>
  <c r="B5" i="22"/>
  <c r="B5" i="23"/>
  <c r="B5" i="24"/>
  <c r="B5" i="25"/>
  <c r="B5" i="26"/>
  <c r="B5" i="19"/>
  <c r="B4" i="4"/>
  <c r="B5" i="4"/>
  <c r="B6" i="4"/>
  <c r="B7" i="4"/>
  <c r="B8" i="4"/>
  <c r="B9" i="4"/>
  <c r="B10" i="4"/>
  <c r="B11" i="4"/>
  <c r="B12" i="4"/>
  <c r="B13" i="4"/>
  <c r="B14" i="4"/>
  <c r="B15" i="4"/>
  <c r="B16" i="4"/>
  <c r="B17" i="4"/>
  <c r="B18" i="4"/>
  <c r="B19" i="4"/>
  <c r="B20" i="4"/>
  <c r="B21" i="4"/>
  <c r="B22" i="4"/>
  <c r="B4" i="14"/>
  <c r="B5" i="14"/>
  <c r="B6" i="14"/>
  <c r="B7" i="14"/>
  <c r="B8" i="14"/>
  <c r="B9" i="14"/>
  <c r="B10" i="14"/>
  <c r="B11" i="14"/>
  <c r="B12" i="14"/>
  <c r="B13" i="14"/>
  <c r="B14" i="14"/>
  <c r="B15" i="14"/>
  <c r="B16" i="14"/>
  <c r="B17" i="14"/>
  <c r="B18" i="14"/>
  <c r="B19" i="14"/>
  <c r="B20" i="14"/>
  <c r="B21" i="14"/>
  <c r="B22" i="14"/>
  <c r="B4" i="10"/>
  <c r="B5" i="10"/>
  <c r="B6" i="10"/>
  <c r="B7" i="10"/>
  <c r="B8" i="10"/>
  <c r="B9" i="10"/>
  <c r="B10" i="10"/>
  <c r="B11" i="10"/>
  <c r="B12" i="10"/>
  <c r="B13" i="10"/>
  <c r="B14" i="10"/>
  <c r="B15" i="10"/>
  <c r="B16" i="10"/>
  <c r="B17" i="10"/>
  <c r="B18" i="10"/>
  <c r="B19" i="10"/>
  <c r="B20" i="10"/>
  <c r="B21" i="10"/>
  <c r="B22" i="10"/>
  <c r="B4" i="11"/>
  <c r="B5" i="11"/>
  <c r="B6" i="11"/>
  <c r="B7" i="11"/>
  <c r="B8" i="11"/>
  <c r="B9" i="11"/>
  <c r="B10" i="11"/>
  <c r="B11" i="11"/>
  <c r="B12" i="11"/>
  <c r="B13" i="11"/>
  <c r="B14" i="11"/>
  <c r="B15" i="11"/>
  <c r="B16" i="11"/>
  <c r="B17" i="11"/>
  <c r="B18" i="11"/>
  <c r="B19" i="11"/>
  <c r="B20" i="11"/>
  <c r="B21" i="11"/>
  <c r="B22" i="11"/>
  <c r="B4" i="15"/>
  <c r="B5" i="15"/>
  <c r="B6" i="15"/>
  <c r="B7" i="15"/>
  <c r="B8" i="15"/>
  <c r="B9" i="15"/>
  <c r="B10" i="15"/>
  <c r="B11" i="15"/>
  <c r="B12" i="15"/>
  <c r="B13" i="15"/>
  <c r="B14" i="15"/>
  <c r="B15" i="15"/>
  <c r="B16" i="15"/>
  <c r="B17" i="15"/>
  <c r="B18" i="15"/>
  <c r="B19" i="15"/>
  <c r="B20" i="15"/>
  <c r="B21" i="15"/>
  <c r="B22" i="15"/>
  <c r="B4" i="3"/>
  <c r="B5" i="3"/>
  <c r="B6" i="3"/>
  <c r="B7" i="3"/>
  <c r="B8" i="3"/>
  <c r="B9" i="3"/>
  <c r="B10" i="3"/>
  <c r="B11" i="3"/>
  <c r="B12" i="3"/>
  <c r="B13" i="3"/>
  <c r="B14" i="3"/>
  <c r="B15" i="3"/>
  <c r="B16" i="3"/>
  <c r="B17" i="3"/>
  <c r="B18" i="3"/>
  <c r="B19" i="3"/>
  <c r="B20" i="3"/>
  <c r="B21" i="3"/>
  <c r="B22" i="3"/>
  <c r="B3" i="4"/>
  <c r="B3" i="14"/>
  <c r="B3" i="10"/>
  <c r="B3" i="11"/>
  <c r="B3" i="15"/>
  <c r="B3" i="3"/>
  <c r="Z24" i="9"/>
  <c r="Z25" i="9"/>
  <c r="Z26" i="9"/>
  <c r="Z27" i="9"/>
  <c r="Z28" i="9"/>
  <c r="Z29" i="9"/>
  <c r="Z30" i="9"/>
  <c r="Z31" i="9"/>
  <c r="Z32" i="9"/>
  <c r="Z33" i="9"/>
  <c r="Z34" i="9"/>
  <c r="Z35" i="9"/>
  <c r="Z36" i="9"/>
  <c r="Z6" i="9"/>
  <c r="Z7" i="9"/>
  <c r="Z8" i="9"/>
  <c r="Z9" i="9"/>
  <c r="Z10" i="9"/>
  <c r="Z11" i="9"/>
  <c r="Z12" i="9"/>
  <c r="Z13" i="9"/>
  <c r="Z14" i="9"/>
  <c r="Z15" i="9"/>
  <c r="Z16" i="9"/>
  <c r="Z17" i="9"/>
  <c r="Z18" i="9"/>
  <c r="Z24" i="12"/>
  <c r="Z25" i="12"/>
  <c r="Z26" i="12"/>
  <c r="Z27" i="12"/>
  <c r="Z28" i="12"/>
  <c r="Z29" i="12"/>
  <c r="Z30" i="12"/>
  <c r="Z31" i="12"/>
  <c r="Z32" i="12"/>
  <c r="Z33" i="12"/>
  <c r="Z34" i="12"/>
  <c r="Z35" i="12"/>
  <c r="Z36" i="12"/>
  <c r="Z7" i="12"/>
  <c r="Z8" i="12"/>
  <c r="Z9" i="12"/>
  <c r="Z10" i="12"/>
  <c r="Z11" i="12"/>
  <c r="Z12" i="12"/>
  <c r="Z13" i="12"/>
  <c r="Z14" i="12"/>
  <c r="Z15" i="12"/>
  <c r="Z16" i="12"/>
  <c r="Z17" i="12"/>
  <c r="Z18" i="12"/>
  <c r="Z6" i="12"/>
  <c r="B5" i="6"/>
  <c r="B6" i="6"/>
  <c r="B7" i="6"/>
  <c r="B8" i="6"/>
  <c r="B9" i="6"/>
  <c r="B10" i="6"/>
  <c r="B11" i="6"/>
  <c r="B12" i="6"/>
  <c r="B13" i="6"/>
  <c r="B14" i="6"/>
  <c r="B15" i="6"/>
  <c r="B16" i="6"/>
  <c r="B17" i="6"/>
  <c r="B18" i="6"/>
  <c r="B19" i="6"/>
  <c r="B20" i="6"/>
  <c r="B21" i="6"/>
  <c r="B22" i="6"/>
  <c r="B23" i="6"/>
  <c r="B5" i="7"/>
  <c r="B6" i="7"/>
  <c r="B7" i="7"/>
  <c r="B8" i="7"/>
  <c r="B9" i="7"/>
  <c r="B10" i="7"/>
  <c r="B11" i="7"/>
  <c r="B12" i="7"/>
  <c r="B13" i="7"/>
  <c r="B14" i="7"/>
  <c r="B15" i="7"/>
  <c r="B16" i="7"/>
  <c r="B17" i="7"/>
  <c r="B18" i="7"/>
  <c r="B19" i="7"/>
  <c r="B20" i="7"/>
  <c r="B21" i="7"/>
  <c r="B22" i="7"/>
  <c r="B23" i="7"/>
  <c r="B5" i="8"/>
  <c r="B6" i="8"/>
  <c r="B7" i="8"/>
  <c r="B8" i="8"/>
  <c r="B9" i="8"/>
  <c r="B10" i="8"/>
  <c r="B11" i="8"/>
  <c r="B12" i="8"/>
  <c r="B13" i="8"/>
  <c r="B14" i="8"/>
  <c r="B15" i="8"/>
  <c r="B16" i="8"/>
  <c r="B17" i="8"/>
  <c r="B18" i="8"/>
  <c r="B19" i="8"/>
  <c r="B20" i="8"/>
  <c r="B21" i="8"/>
  <c r="B22" i="8"/>
  <c r="B23" i="8"/>
  <c r="B5" i="5"/>
  <c r="B6" i="5"/>
  <c r="B7" i="5"/>
  <c r="B8" i="5"/>
  <c r="B9" i="5"/>
  <c r="B10" i="5"/>
  <c r="B11" i="5"/>
  <c r="B12" i="5"/>
  <c r="B13" i="5"/>
  <c r="B14" i="5"/>
  <c r="B15" i="5"/>
  <c r="B16" i="5"/>
  <c r="B17" i="5"/>
  <c r="B18" i="5"/>
  <c r="B19" i="5"/>
  <c r="B20" i="5"/>
  <c r="B21" i="5"/>
  <c r="B22" i="5"/>
  <c r="B23" i="5"/>
  <c r="B4" i="6"/>
  <c r="B4" i="7"/>
  <c r="B4" i="8"/>
  <c r="B4" i="5"/>
  <c r="AH6" i="18"/>
  <c r="AH7" i="18"/>
  <c r="AH8" i="18"/>
  <c r="AH9" i="18"/>
  <c r="AH10" i="18"/>
  <c r="AH11" i="18"/>
  <c r="AH12" i="18"/>
  <c r="AH13" i="18"/>
  <c r="AH14" i="18"/>
  <c r="AH15" i="18"/>
  <c r="AH16" i="18"/>
  <c r="AH17" i="18"/>
  <c r="AH18" i="18"/>
  <c r="AH19" i="18"/>
  <c r="AH20" i="18"/>
  <c r="AH21" i="18"/>
  <c r="AH22" i="18"/>
  <c r="AH23" i="18"/>
  <c r="AH24" i="18"/>
  <c r="AH5" i="18"/>
  <c r="B6" i="18"/>
  <c r="B7" i="18"/>
  <c r="B8" i="18"/>
  <c r="B9" i="18"/>
  <c r="B10" i="18"/>
  <c r="B11" i="18"/>
  <c r="B12" i="18"/>
  <c r="B13" i="18"/>
  <c r="B14" i="18"/>
  <c r="B15" i="18"/>
  <c r="B16" i="18"/>
  <c r="B17" i="18"/>
  <c r="B18" i="18"/>
  <c r="B19" i="18"/>
  <c r="B20" i="18"/>
  <c r="B21" i="18"/>
  <c r="B22" i="18"/>
  <c r="B23" i="18"/>
  <c r="B24" i="18"/>
  <c r="B5" i="18"/>
  <c r="W118" i="2" l="1"/>
  <c r="V118" i="2"/>
  <c r="V121" i="2"/>
  <c r="W119" i="2"/>
  <c r="W121" i="2"/>
  <c r="V120" i="2"/>
  <c r="V119" i="2"/>
  <c r="X84" i="2"/>
  <c r="W89" i="2"/>
  <c r="W87" i="2"/>
  <c r="W88" i="2"/>
  <c r="W86" i="2"/>
  <c r="V86" i="2"/>
  <c r="V88" i="2"/>
  <c r="V87" i="2"/>
  <c r="V89" i="2"/>
  <c r="G84" i="2"/>
  <c r="I6" i="18"/>
  <c r="I5" i="18"/>
  <c r="AU36" i="9"/>
  <c r="AU35" i="9"/>
  <c r="AU34" i="9"/>
  <c r="AU33" i="9"/>
  <c r="AU32" i="9"/>
  <c r="AU31" i="9"/>
  <c r="AU30" i="9"/>
  <c r="AU29" i="9"/>
  <c r="AU28" i="9"/>
  <c r="AU27" i="9"/>
  <c r="AU26" i="9"/>
  <c r="AU25" i="9"/>
  <c r="AU24" i="9"/>
  <c r="AU36" i="12"/>
  <c r="AU35" i="12"/>
  <c r="AU34" i="12"/>
  <c r="AU33" i="12"/>
  <c r="AU32" i="12"/>
  <c r="AU31" i="12"/>
  <c r="AU30" i="12"/>
  <c r="AU29" i="12"/>
  <c r="AU28" i="12"/>
  <c r="AU27" i="12"/>
  <c r="AU26" i="12"/>
  <c r="AU25" i="12"/>
  <c r="AU24" i="12"/>
  <c r="AU18" i="9"/>
  <c r="AU17" i="9"/>
  <c r="AU16" i="9"/>
  <c r="AU15" i="9"/>
  <c r="AU14" i="9"/>
  <c r="AU13" i="9"/>
  <c r="AU12" i="9"/>
  <c r="AU11" i="9"/>
  <c r="AU10" i="9"/>
  <c r="AU9" i="9"/>
  <c r="AU8" i="9"/>
  <c r="AU7" i="9"/>
  <c r="AU6" i="9"/>
  <c r="AU18" i="12"/>
  <c r="AU17" i="12"/>
  <c r="AU16" i="12"/>
  <c r="AU15" i="12"/>
  <c r="AU14" i="12"/>
  <c r="AU13" i="12"/>
  <c r="AU12" i="12"/>
  <c r="AU11" i="12"/>
  <c r="AU10" i="12"/>
  <c r="AU9" i="12"/>
  <c r="AU8" i="12"/>
  <c r="AU7" i="12"/>
  <c r="AU6" i="12"/>
  <c r="X120" i="2" l="1"/>
  <c r="X119" i="2"/>
  <c r="X121" i="2"/>
  <c r="X118" i="2"/>
  <c r="Y84" i="2"/>
  <c r="X89" i="2"/>
  <c r="X87" i="2"/>
  <c r="X86" i="2"/>
  <c r="X88" i="2"/>
  <c r="K6" i="18"/>
  <c r="K15" i="18"/>
  <c r="AD21" i="8"/>
  <c r="AJ12" i="2"/>
  <c r="AJ11" i="2" s="1"/>
  <c r="AI12" i="2"/>
  <c r="AI11" i="2" s="1"/>
  <c r="BB12" i="2"/>
  <c r="BB11" i="2" s="1"/>
  <c r="BA12" i="2"/>
  <c r="BA8" i="2" s="1"/>
  <c r="BA9" i="2" s="1"/>
  <c r="BA10" i="2" s="1"/>
  <c r="Y119" i="2" l="1"/>
  <c r="Y120" i="2"/>
  <c r="Y121" i="2"/>
  <c r="Y118" i="2"/>
  <c r="Z84" i="2"/>
  <c r="Y88" i="2"/>
  <c r="Y87" i="2"/>
  <c r="Y86" i="2"/>
  <c r="Y89" i="2"/>
  <c r="AJ8" i="2"/>
  <c r="AJ9" i="2" s="1"/>
  <c r="AJ10" i="2" s="1"/>
  <c r="AI8" i="2"/>
  <c r="AI9" i="2" s="1"/>
  <c r="AI10" i="2" s="1"/>
  <c r="BB8" i="2"/>
  <c r="BB9" i="2" s="1"/>
  <c r="BB10" i="2" s="1"/>
  <c r="BA11" i="2"/>
  <c r="Z120" i="2" l="1"/>
  <c r="Z119" i="2"/>
  <c r="Z121" i="2"/>
  <c r="Z118" i="2"/>
  <c r="AA84" i="2"/>
  <c r="Z87" i="2"/>
  <c r="Z86" i="2"/>
  <c r="Z89" i="2"/>
  <c r="Z88" i="2"/>
  <c r="CL5" i="2"/>
  <c r="CC5" i="2"/>
  <c r="BT5" i="2"/>
  <c r="BK5" i="2"/>
  <c r="BB5" i="2"/>
  <c r="AS5" i="2"/>
  <c r="AJ5" i="2"/>
  <c r="AA5" i="2"/>
  <c r="CG6" i="2"/>
  <c r="CI5" i="2"/>
  <c r="BO6" i="2"/>
  <c r="BQ5" i="2"/>
  <c r="AW6" i="2"/>
  <c r="AY5" i="2"/>
  <c r="AJ7" i="2"/>
  <c r="AE6" i="2"/>
  <c r="AG5" i="2"/>
  <c r="T23" i="8"/>
  <c r="T22" i="8"/>
  <c r="T21" i="8"/>
  <c r="T20" i="8"/>
  <c r="T19" i="8"/>
  <c r="T18" i="8"/>
  <c r="T17" i="8"/>
  <c r="T16" i="8"/>
  <c r="T15" i="8"/>
  <c r="T14" i="8"/>
  <c r="T13" i="8"/>
  <c r="T12" i="8"/>
  <c r="T11" i="8"/>
  <c r="T10" i="8"/>
  <c r="T9" i="8"/>
  <c r="T8" i="8"/>
  <c r="T5" i="8"/>
  <c r="T4" i="8"/>
  <c r="T23" i="7"/>
  <c r="T22" i="7"/>
  <c r="T21" i="7"/>
  <c r="T20" i="7"/>
  <c r="T19" i="7"/>
  <c r="T18" i="7"/>
  <c r="T17" i="7"/>
  <c r="T16" i="7"/>
  <c r="T15" i="7"/>
  <c r="T14" i="7"/>
  <c r="T13" i="7"/>
  <c r="T12" i="7"/>
  <c r="T11" i="7"/>
  <c r="T10" i="7"/>
  <c r="T9" i="7"/>
  <c r="T8" i="7"/>
  <c r="T5" i="7"/>
  <c r="T4" i="7"/>
  <c r="T23" i="6"/>
  <c r="T22" i="6"/>
  <c r="T21" i="6"/>
  <c r="T20" i="6"/>
  <c r="T19" i="6"/>
  <c r="T18" i="6"/>
  <c r="T17" i="6"/>
  <c r="T16" i="6"/>
  <c r="T15" i="6"/>
  <c r="T14" i="6"/>
  <c r="T13" i="6"/>
  <c r="T12" i="6"/>
  <c r="T11" i="6"/>
  <c r="T10" i="6"/>
  <c r="T9" i="6"/>
  <c r="T8" i="6"/>
  <c r="T5" i="6"/>
  <c r="T4" i="6"/>
  <c r="T23" i="5"/>
  <c r="T22" i="5"/>
  <c r="T21" i="5"/>
  <c r="T20" i="5"/>
  <c r="T19" i="5"/>
  <c r="T18" i="5"/>
  <c r="T17" i="5"/>
  <c r="T16" i="5"/>
  <c r="T15" i="5"/>
  <c r="T14" i="5"/>
  <c r="T13" i="5"/>
  <c r="AC21" i="6"/>
  <c r="AC19" i="6"/>
  <c r="AC21" i="7"/>
  <c r="AC19" i="7"/>
  <c r="AC17" i="7"/>
  <c r="AC21" i="8"/>
  <c r="AD19" i="8"/>
  <c r="AC19" i="8"/>
  <c r="AD17" i="8"/>
  <c r="AC17" i="8"/>
  <c r="AD12" i="8"/>
  <c r="AC12" i="8"/>
  <c r="AC21" i="5"/>
  <c r="AC19" i="5"/>
  <c r="AC17" i="5"/>
  <c r="D1" i="6"/>
  <c r="E1" i="6" s="1"/>
  <c r="F1" i="6" s="1"/>
  <c r="G1" i="6" s="1"/>
  <c r="H1" i="6" s="1"/>
  <c r="I1" i="6" s="1"/>
  <c r="J1" i="6" s="1"/>
  <c r="K1" i="6" s="1"/>
  <c r="L1" i="6" s="1"/>
  <c r="M1" i="6" s="1"/>
  <c r="N1" i="6" s="1"/>
  <c r="O1" i="6" s="1"/>
  <c r="P1" i="6" s="1"/>
  <c r="Q1" i="6" s="1"/>
  <c r="R1" i="6" s="1"/>
  <c r="S1" i="6" s="1"/>
  <c r="T1" i="6" s="1"/>
  <c r="U1" i="6" s="1"/>
  <c r="V1" i="6" s="1"/>
  <c r="W1" i="6" s="1"/>
  <c r="X1" i="6" s="1"/>
  <c r="Y1" i="6" s="1"/>
  <c r="Z1" i="6" s="1"/>
  <c r="AA1" i="6" s="1"/>
  <c r="AB1" i="6" s="1"/>
  <c r="AC1" i="6" s="1"/>
  <c r="AD1" i="6" s="1"/>
  <c r="AE1" i="6" s="1"/>
  <c r="D1" i="7"/>
  <c r="E1" i="7" s="1"/>
  <c r="F1" i="7" s="1"/>
  <c r="G1" i="7" s="1"/>
  <c r="H1" i="7" s="1"/>
  <c r="I1" i="7" s="1"/>
  <c r="J1" i="7" s="1"/>
  <c r="K1" i="7" s="1"/>
  <c r="L1" i="7" s="1"/>
  <c r="M1" i="7" s="1"/>
  <c r="N1" i="7" s="1"/>
  <c r="O1" i="7" s="1"/>
  <c r="P1" i="7" s="1"/>
  <c r="Q1" i="7" s="1"/>
  <c r="R1" i="7" s="1"/>
  <c r="S1" i="7" s="1"/>
  <c r="T1" i="7" s="1"/>
  <c r="U1" i="7" s="1"/>
  <c r="V1" i="7" s="1"/>
  <c r="W1" i="7" s="1"/>
  <c r="X1" i="7" s="1"/>
  <c r="Y1" i="7" s="1"/>
  <c r="Z1" i="7" s="1"/>
  <c r="AA1" i="7" s="1"/>
  <c r="AB1" i="7" s="1"/>
  <c r="AC1" i="7" s="1"/>
  <c r="AD1" i="7" s="1"/>
  <c r="AE1" i="7" s="1"/>
  <c r="D1" i="8"/>
  <c r="E1" i="8" s="1"/>
  <c r="F1" i="8" s="1"/>
  <c r="G1" i="8" s="1"/>
  <c r="H1" i="8" s="1"/>
  <c r="I1" i="8" s="1"/>
  <c r="J1" i="8" s="1"/>
  <c r="K1" i="8" s="1"/>
  <c r="L1" i="8" s="1"/>
  <c r="M1" i="8" s="1"/>
  <c r="N1" i="8" s="1"/>
  <c r="O1" i="8" s="1"/>
  <c r="P1" i="8" s="1"/>
  <c r="Q1" i="8" s="1"/>
  <c r="R1" i="8" s="1"/>
  <c r="S1" i="8" s="1"/>
  <c r="T1" i="8" s="1"/>
  <c r="U1" i="8" s="1"/>
  <c r="V1" i="8" s="1"/>
  <c r="W1" i="8" s="1"/>
  <c r="X1" i="8" s="1"/>
  <c r="Y1" i="8" s="1"/>
  <c r="Z1" i="8" s="1"/>
  <c r="AA1" i="8" s="1"/>
  <c r="AB1" i="8" s="1"/>
  <c r="AC1" i="8" s="1"/>
  <c r="AD1" i="8" s="1"/>
  <c r="AE1" i="8" s="1"/>
  <c r="D1" i="5"/>
  <c r="E1" i="5" s="1"/>
  <c r="F1" i="5" s="1"/>
  <c r="G1" i="5" s="1"/>
  <c r="H1" i="5" s="1"/>
  <c r="I1" i="5" s="1"/>
  <c r="J1" i="5" s="1"/>
  <c r="K1" i="5" s="1"/>
  <c r="L1" i="5" s="1"/>
  <c r="M1" i="5" s="1"/>
  <c r="N1" i="5" s="1"/>
  <c r="O1" i="5" s="1"/>
  <c r="P1" i="5" s="1"/>
  <c r="Q1" i="5" s="1"/>
  <c r="R1" i="5" s="1"/>
  <c r="S1" i="5" s="1"/>
  <c r="T1" i="5" s="1"/>
  <c r="U1" i="5" s="1"/>
  <c r="V1" i="5" s="1"/>
  <c r="W1" i="5" s="1"/>
  <c r="X1" i="5" s="1"/>
  <c r="Y1" i="5" s="1"/>
  <c r="Z1" i="5" s="1"/>
  <c r="AA1" i="5" s="1"/>
  <c r="AB1" i="5" s="1"/>
  <c r="AC1" i="5" s="1"/>
  <c r="AD1" i="5" s="1"/>
  <c r="AE1" i="5" s="1"/>
  <c r="AA121" i="2" l="1"/>
  <c r="AA118" i="2"/>
  <c r="AA119" i="2"/>
  <c r="AA120" i="2"/>
  <c r="AB84" i="2"/>
  <c r="AA86" i="2"/>
  <c r="AA89" i="2"/>
  <c r="AA87" i="2"/>
  <c r="AA88" i="2"/>
  <c r="AM69" i="2"/>
  <c r="U69" i="2"/>
  <c r="AM51" i="2"/>
  <c r="U51" i="2"/>
  <c r="AM32" i="2"/>
  <c r="U32" i="2"/>
  <c r="U14" i="2"/>
  <c r="G24" i="18"/>
  <c r="G23" i="18"/>
  <c r="G22" i="18"/>
  <c r="G21" i="18"/>
  <c r="G20" i="18"/>
  <c r="G19" i="18"/>
  <c r="G18" i="18"/>
  <c r="G17" i="18"/>
  <c r="G16" i="18"/>
  <c r="G15" i="18"/>
  <c r="G14" i="18"/>
  <c r="G13" i="18"/>
  <c r="G12" i="18"/>
  <c r="G11" i="18"/>
  <c r="G10" i="18"/>
  <c r="G9" i="18"/>
  <c r="G8" i="18"/>
  <c r="G7" i="18"/>
  <c r="G6" i="18"/>
  <c r="G5" i="18"/>
  <c r="D14" i="18"/>
  <c r="K24" i="18"/>
  <c r="J24" i="18"/>
  <c r="I24" i="18"/>
  <c r="H24" i="18"/>
  <c r="F24" i="18"/>
  <c r="E24" i="18"/>
  <c r="D24" i="18"/>
  <c r="K23" i="18"/>
  <c r="J23" i="18"/>
  <c r="I23" i="18"/>
  <c r="H23" i="18"/>
  <c r="F23" i="18"/>
  <c r="E23" i="18"/>
  <c r="D23" i="18"/>
  <c r="K22" i="18"/>
  <c r="J22" i="18"/>
  <c r="I22" i="18"/>
  <c r="H22" i="18"/>
  <c r="F22" i="18"/>
  <c r="E22" i="18"/>
  <c r="D22" i="18"/>
  <c r="K21" i="18"/>
  <c r="J21" i="18"/>
  <c r="I21" i="18"/>
  <c r="H21" i="18"/>
  <c r="F21" i="18"/>
  <c r="E21" i="18"/>
  <c r="D21" i="18"/>
  <c r="K20" i="18"/>
  <c r="J20" i="18"/>
  <c r="I20" i="18"/>
  <c r="H20" i="18"/>
  <c r="F20" i="18"/>
  <c r="E20" i="18"/>
  <c r="D20" i="18"/>
  <c r="K19" i="18"/>
  <c r="J19" i="18"/>
  <c r="I19" i="18"/>
  <c r="H19" i="18"/>
  <c r="F19" i="18"/>
  <c r="E19" i="18"/>
  <c r="D19" i="18"/>
  <c r="K18" i="18"/>
  <c r="J18" i="18"/>
  <c r="I18" i="18"/>
  <c r="H18" i="18"/>
  <c r="F18" i="18"/>
  <c r="E18" i="18"/>
  <c r="D18" i="18"/>
  <c r="K17" i="18"/>
  <c r="J17" i="18"/>
  <c r="I17" i="18"/>
  <c r="H17" i="18"/>
  <c r="F17" i="18"/>
  <c r="E17" i="18"/>
  <c r="D17" i="18"/>
  <c r="K16" i="18"/>
  <c r="J16" i="18"/>
  <c r="I16" i="18"/>
  <c r="H16" i="18"/>
  <c r="F16" i="18"/>
  <c r="E16" i="18"/>
  <c r="D16" i="18"/>
  <c r="J15" i="18"/>
  <c r="I15" i="18"/>
  <c r="H15" i="18"/>
  <c r="F15" i="18"/>
  <c r="E15" i="18"/>
  <c r="D15" i="18"/>
  <c r="K14" i="18"/>
  <c r="J14" i="18"/>
  <c r="I14" i="18"/>
  <c r="H14" i="18"/>
  <c r="F14" i="18"/>
  <c r="E14" i="18"/>
  <c r="K13" i="18"/>
  <c r="J13" i="18"/>
  <c r="I13" i="18"/>
  <c r="H13" i="18"/>
  <c r="F13" i="18"/>
  <c r="E13" i="18"/>
  <c r="D13" i="18"/>
  <c r="K12" i="18"/>
  <c r="J12" i="18"/>
  <c r="I12" i="18"/>
  <c r="H12" i="18"/>
  <c r="F12" i="18"/>
  <c r="E12" i="18"/>
  <c r="D12" i="18"/>
  <c r="K11" i="18"/>
  <c r="J11" i="18"/>
  <c r="I11" i="18"/>
  <c r="H11" i="18"/>
  <c r="F11" i="18"/>
  <c r="E11" i="18"/>
  <c r="D11" i="18"/>
  <c r="K10" i="18"/>
  <c r="J10" i="18"/>
  <c r="I10" i="18"/>
  <c r="H10" i="18"/>
  <c r="F10" i="18"/>
  <c r="E10" i="18"/>
  <c r="D10" i="18"/>
  <c r="K9" i="18"/>
  <c r="J9" i="18"/>
  <c r="I9" i="18"/>
  <c r="H9" i="18"/>
  <c r="F9" i="18"/>
  <c r="E9" i="18"/>
  <c r="D9" i="18"/>
  <c r="K8" i="18"/>
  <c r="I8" i="18"/>
  <c r="E8" i="18"/>
  <c r="K7" i="18"/>
  <c r="I7" i="18"/>
  <c r="E7" i="18"/>
  <c r="J6" i="18"/>
  <c r="H6" i="18"/>
  <c r="F6" i="18"/>
  <c r="E6" i="18"/>
  <c r="D6" i="18"/>
  <c r="K5" i="18"/>
  <c r="E5" i="18"/>
  <c r="J5" i="18"/>
  <c r="H5" i="18"/>
  <c r="D5" i="18"/>
  <c r="F5" i="18"/>
  <c r="AI12" i="7"/>
  <c r="AC12" i="7" s="1"/>
  <c r="AI12" i="6"/>
  <c r="AC12" i="6" s="1"/>
  <c r="AW7" i="7"/>
  <c r="AU7" i="7"/>
  <c r="AT7" i="7"/>
  <c r="AR7" i="7"/>
  <c r="AQ7" i="7"/>
  <c r="AO7" i="7"/>
  <c r="AN7" i="7"/>
  <c r="AL7" i="7"/>
  <c r="AK7" i="7"/>
  <c r="AW6" i="7"/>
  <c r="AU6" i="7"/>
  <c r="AT6" i="7"/>
  <c r="AR6" i="7"/>
  <c r="AQ6" i="7"/>
  <c r="AO6" i="7"/>
  <c r="AN6" i="7"/>
  <c r="AL6" i="7"/>
  <c r="AK6" i="7"/>
  <c r="AW7" i="8"/>
  <c r="AU7" i="8"/>
  <c r="AT7" i="8"/>
  <c r="AS7" i="8"/>
  <c r="AR7" i="8"/>
  <c r="AP7" i="8"/>
  <c r="AO7" i="8"/>
  <c r="AN7" i="8"/>
  <c r="AM7" i="8"/>
  <c r="AK7" i="8"/>
  <c r="AW6" i="8"/>
  <c r="AU6" i="8"/>
  <c r="AT6" i="8"/>
  <c r="AS6" i="8"/>
  <c r="AR6" i="8"/>
  <c r="AP6" i="8"/>
  <c r="AO6" i="8"/>
  <c r="AN6" i="8"/>
  <c r="AM6" i="8"/>
  <c r="AK6" i="8"/>
  <c r="AW7" i="6"/>
  <c r="AU7" i="6"/>
  <c r="AT7" i="6"/>
  <c r="AR7" i="6"/>
  <c r="AQ7" i="6"/>
  <c r="AO7" i="6"/>
  <c r="AN7" i="6"/>
  <c r="AL7" i="6"/>
  <c r="AK7" i="6"/>
  <c r="AW6" i="6"/>
  <c r="AU6" i="6"/>
  <c r="AT6" i="6"/>
  <c r="AR6" i="6"/>
  <c r="AQ6" i="6"/>
  <c r="AO6" i="6"/>
  <c r="AN6" i="6"/>
  <c r="AL6" i="6"/>
  <c r="AK6" i="6"/>
  <c r="AI7" i="7"/>
  <c r="AC7" i="7" s="1"/>
  <c r="AH7" i="7"/>
  <c r="AI6" i="7"/>
  <c r="AC6" i="7" s="1"/>
  <c r="AH6" i="7"/>
  <c r="AI7" i="8"/>
  <c r="AC7" i="8" s="1"/>
  <c r="AH7" i="8"/>
  <c r="AI6" i="8"/>
  <c r="AC6" i="8" s="1"/>
  <c r="AH6" i="8"/>
  <c r="AI7" i="6"/>
  <c r="AC7" i="6" s="1"/>
  <c r="AH7" i="6"/>
  <c r="AI6" i="6"/>
  <c r="AC6" i="6" s="1"/>
  <c r="AH6" i="6"/>
  <c r="AY6" i="5"/>
  <c r="AY7" i="5" s="1"/>
  <c r="AY5" i="5"/>
  <c r="AB121" i="2" l="1"/>
  <c r="AB118" i="2"/>
  <c r="AB120" i="2"/>
  <c r="AB119" i="2"/>
  <c r="AC84" i="2"/>
  <c r="AB86" i="2"/>
  <c r="AB88" i="2"/>
  <c r="AB89" i="2"/>
  <c r="AB87" i="2"/>
  <c r="AY8" i="5"/>
  <c r="L158" i="2"/>
  <c r="H158" i="2"/>
  <c r="D158" i="2"/>
  <c r="L157" i="2"/>
  <c r="H157" i="2"/>
  <c r="D157" i="2"/>
  <c r="L156" i="2"/>
  <c r="H156" i="2"/>
  <c r="D156" i="2"/>
  <c r="L155" i="2"/>
  <c r="H155" i="2"/>
  <c r="L154" i="2"/>
  <c r="H154" i="2"/>
  <c r="D154" i="2"/>
  <c r="L153" i="2"/>
  <c r="H153" i="2"/>
  <c r="D153" i="2"/>
  <c r="L152" i="2"/>
  <c r="H152" i="2"/>
  <c r="D152" i="2"/>
  <c r="L151" i="2"/>
  <c r="H151" i="2"/>
  <c r="D151" i="2"/>
  <c r="Z158" i="2"/>
  <c r="K158" i="2" s="1"/>
  <c r="Y158" i="2"/>
  <c r="G158" i="2" s="1"/>
  <c r="X158" i="2"/>
  <c r="C158" i="2" s="1"/>
  <c r="Z157" i="2"/>
  <c r="K157" i="2" s="1"/>
  <c r="Y157" i="2"/>
  <c r="G157" i="2" s="1"/>
  <c r="X157" i="2"/>
  <c r="C157" i="2" s="1"/>
  <c r="Z156" i="2"/>
  <c r="K156" i="2" s="1"/>
  <c r="Y156" i="2"/>
  <c r="G156" i="2" s="1"/>
  <c r="X156" i="2"/>
  <c r="C156" i="2" s="1"/>
  <c r="Z155" i="2"/>
  <c r="K155" i="2" s="1"/>
  <c r="Y155" i="2"/>
  <c r="G155" i="2" s="1"/>
  <c r="X155" i="2"/>
  <c r="C155" i="2" s="1"/>
  <c r="Z154" i="2"/>
  <c r="K154" i="2" s="1"/>
  <c r="Y154" i="2"/>
  <c r="G154" i="2" s="1"/>
  <c r="X154" i="2"/>
  <c r="C154" i="2" s="1"/>
  <c r="Z153" i="2"/>
  <c r="K153" i="2" s="1"/>
  <c r="Y153" i="2"/>
  <c r="G153" i="2" s="1"/>
  <c r="X153" i="2"/>
  <c r="C153" i="2" s="1"/>
  <c r="Z152" i="2"/>
  <c r="K152" i="2" s="1"/>
  <c r="Y152" i="2"/>
  <c r="G152" i="2" s="1"/>
  <c r="X152" i="2"/>
  <c r="C152" i="2" s="1"/>
  <c r="Z151" i="2"/>
  <c r="K151" i="2" s="1"/>
  <c r="Y151" i="2"/>
  <c r="G151" i="2" s="1"/>
  <c r="X151" i="2"/>
  <c r="C151" i="2" s="1"/>
  <c r="AW13" i="8"/>
  <c r="AH12" i="2"/>
  <c r="AH11" i="2" s="1"/>
  <c r="AZ12" i="2"/>
  <c r="AZ11" i="2" s="1"/>
  <c r="AI23" i="5"/>
  <c r="AC23" i="5" s="1"/>
  <c r="AI22" i="5"/>
  <c r="AC22" i="5" s="1"/>
  <c r="AI20" i="5"/>
  <c r="AC20" i="5" s="1"/>
  <c r="AI18" i="5"/>
  <c r="AC18" i="5" s="1"/>
  <c r="AI16" i="5"/>
  <c r="AC16" i="5" s="1"/>
  <c r="AI15" i="5"/>
  <c r="AC15" i="5" s="1"/>
  <c r="AI14" i="5"/>
  <c r="AC14" i="5" s="1"/>
  <c r="AI13" i="5"/>
  <c r="AC13" i="5" s="1"/>
  <c r="AI23" i="6"/>
  <c r="AC23" i="6" s="1"/>
  <c r="AI22" i="6"/>
  <c r="AC22" i="6" s="1"/>
  <c r="AI20" i="6"/>
  <c r="AC20" i="6" s="1"/>
  <c r="AI18" i="6"/>
  <c r="AC18" i="6" s="1"/>
  <c r="AI16" i="6"/>
  <c r="AC16" i="6" s="1"/>
  <c r="AI15" i="6"/>
  <c r="AC15" i="6" s="1"/>
  <c r="AI14" i="6"/>
  <c r="AC14" i="6" s="1"/>
  <c r="AI13" i="6"/>
  <c r="AC13" i="6" s="1"/>
  <c r="AI11" i="6"/>
  <c r="AC11" i="6" s="1"/>
  <c r="AI10" i="6"/>
  <c r="AC10" i="6" s="1"/>
  <c r="AI9" i="6"/>
  <c r="AC9" i="6" s="1"/>
  <c r="AI8" i="6"/>
  <c r="AC8" i="6" s="1"/>
  <c r="AI5" i="6"/>
  <c r="AC5" i="6" s="1"/>
  <c r="AI4" i="6"/>
  <c r="AC4" i="6" s="1"/>
  <c r="AI23" i="7"/>
  <c r="AC23" i="7" s="1"/>
  <c r="AI22" i="7"/>
  <c r="AC22" i="7" s="1"/>
  <c r="AI20" i="7"/>
  <c r="AC20" i="7" s="1"/>
  <c r="AI18" i="7"/>
  <c r="AC18" i="7" s="1"/>
  <c r="AI16" i="7"/>
  <c r="AC16" i="7" s="1"/>
  <c r="AI15" i="7"/>
  <c r="AC15" i="7" s="1"/>
  <c r="AI14" i="7"/>
  <c r="AC14" i="7" s="1"/>
  <c r="AI13" i="7"/>
  <c r="AC13" i="7" s="1"/>
  <c r="AI11" i="7"/>
  <c r="AC11" i="7" s="1"/>
  <c r="AI10" i="7"/>
  <c r="AC10" i="7" s="1"/>
  <c r="AI9" i="7"/>
  <c r="AC9" i="7" s="1"/>
  <c r="AI8" i="7"/>
  <c r="AC8" i="7" s="1"/>
  <c r="AI5" i="7"/>
  <c r="AC5" i="7" s="1"/>
  <c r="AI4" i="7"/>
  <c r="AC4" i="7" s="1"/>
  <c r="AW23" i="5"/>
  <c r="AU23" i="5"/>
  <c r="AT23" i="5"/>
  <c r="AR23" i="5"/>
  <c r="AQ23" i="5"/>
  <c r="AO23" i="5"/>
  <c r="AN23" i="5"/>
  <c r="AL23" i="5"/>
  <c r="AK23" i="5"/>
  <c r="AH23" i="5"/>
  <c r="AW22" i="5"/>
  <c r="AV22" i="5"/>
  <c r="AT22" i="5"/>
  <c r="AS22" i="5"/>
  <c r="AQ22" i="5"/>
  <c r="AP22" i="5"/>
  <c r="AN22" i="5"/>
  <c r="AM22" i="5"/>
  <c r="AK22" i="5"/>
  <c r="AH22" i="5"/>
  <c r="AV21" i="5"/>
  <c r="AU21" i="5"/>
  <c r="AS21" i="5"/>
  <c r="AR21" i="5"/>
  <c r="AP21" i="5"/>
  <c r="AO21" i="5"/>
  <c r="AM21" i="5"/>
  <c r="AL21" i="5"/>
  <c r="AH21" i="5"/>
  <c r="AW20" i="5"/>
  <c r="AU20" i="5"/>
  <c r="AT20" i="5"/>
  <c r="AR20" i="5"/>
  <c r="AQ20" i="5"/>
  <c r="AO20" i="5"/>
  <c r="AN20" i="5"/>
  <c r="AL20" i="5"/>
  <c r="AK20" i="5"/>
  <c r="AH20" i="5"/>
  <c r="AW19" i="5"/>
  <c r="AU19" i="5"/>
  <c r="AT19" i="5"/>
  <c r="AS19" i="5"/>
  <c r="AQ19" i="5"/>
  <c r="AO19" i="5"/>
  <c r="AN19" i="5"/>
  <c r="AL19" i="5"/>
  <c r="AK19" i="5"/>
  <c r="AH19" i="5"/>
  <c r="AV18" i="5"/>
  <c r="AU18" i="5"/>
  <c r="AS18" i="5"/>
  <c r="AR18" i="5"/>
  <c r="AP18" i="5"/>
  <c r="AO18" i="5"/>
  <c r="AM18" i="5"/>
  <c r="AL18" i="5"/>
  <c r="AH18" i="5"/>
  <c r="AW17" i="5"/>
  <c r="AV17" i="5"/>
  <c r="AU17" i="5"/>
  <c r="AS17" i="5"/>
  <c r="AR17" i="5"/>
  <c r="AP17" i="5"/>
  <c r="AO17" i="5"/>
  <c r="AM17" i="5"/>
  <c r="AL17" i="5"/>
  <c r="AH17" i="5"/>
  <c r="AK17" i="5" s="1"/>
  <c r="AW16" i="5"/>
  <c r="AV16" i="5"/>
  <c r="AT16" i="5"/>
  <c r="AS16" i="5"/>
  <c r="AQ16" i="5"/>
  <c r="AP16" i="5"/>
  <c r="AN16" i="5"/>
  <c r="AM16" i="5"/>
  <c r="AK16" i="5"/>
  <c r="AH16" i="5"/>
  <c r="AW15" i="5"/>
  <c r="AU15" i="5"/>
  <c r="AT15" i="5"/>
  <c r="AR15" i="5"/>
  <c r="AQ15" i="5"/>
  <c r="AO15" i="5"/>
  <c r="AN15" i="5"/>
  <c r="AL15" i="5"/>
  <c r="AK15" i="5"/>
  <c r="AH15" i="5"/>
  <c r="AW14" i="5"/>
  <c r="AV14" i="5"/>
  <c r="AT14" i="5"/>
  <c r="AS14" i="5"/>
  <c r="AQ14" i="5"/>
  <c r="AP14" i="5"/>
  <c r="AN14" i="5"/>
  <c r="AM14" i="5"/>
  <c r="AK14" i="5"/>
  <c r="AH14" i="5"/>
  <c r="AV13" i="5"/>
  <c r="AU13" i="5"/>
  <c r="AS13" i="5"/>
  <c r="AR13" i="5"/>
  <c r="AP13" i="5"/>
  <c r="AO13" i="5"/>
  <c r="AM13" i="5"/>
  <c r="AL13" i="5"/>
  <c r="AH13" i="5"/>
  <c r="AW23" i="8"/>
  <c r="AV23" i="8"/>
  <c r="AU23" i="8"/>
  <c r="AT23" i="8"/>
  <c r="AS23" i="8"/>
  <c r="AQ23" i="8"/>
  <c r="AP23" i="8"/>
  <c r="AO23" i="8"/>
  <c r="AN23" i="8"/>
  <c r="AM23" i="8"/>
  <c r="AK23" i="8"/>
  <c r="AI23" i="8"/>
  <c r="AC23" i="8" s="1"/>
  <c r="AH23" i="8"/>
  <c r="AW22" i="8"/>
  <c r="AV22" i="8"/>
  <c r="AT22" i="8"/>
  <c r="AS22" i="8"/>
  <c r="AR22" i="8"/>
  <c r="AQ22" i="8"/>
  <c r="AP22" i="8"/>
  <c r="AO22" i="8"/>
  <c r="AM22" i="8"/>
  <c r="AL22" i="8"/>
  <c r="AK22" i="8"/>
  <c r="AI22" i="8"/>
  <c r="AC22" i="8" s="1"/>
  <c r="AH22" i="8"/>
  <c r="AW20" i="8"/>
  <c r="AV20" i="8"/>
  <c r="AU20" i="8"/>
  <c r="AT20" i="8"/>
  <c r="AS20" i="8"/>
  <c r="AQ20" i="8"/>
  <c r="AP20" i="8"/>
  <c r="AO20" i="8"/>
  <c r="AN20" i="8"/>
  <c r="AM20" i="8"/>
  <c r="AK20" i="8"/>
  <c r="AI20" i="8"/>
  <c r="AC20" i="8" s="1"/>
  <c r="AH20" i="8"/>
  <c r="AH19" i="8"/>
  <c r="AW18" i="8"/>
  <c r="AU18" i="8"/>
  <c r="AT18" i="8"/>
  <c r="AS18" i="8"/>
  <c r="AR18" i="8"/>
  <c r="AQ18" i="8"/>
  <c r="AO18" i="8"/>
  <c r="AN18" i="8"/>
  <c r="AM18" i="8"/>
  <c r="AL18" i="8"/>
  <c r="AK18" i="8"/>
  <c r="AI18" i="8"/>
  <c r="AC18" i="8" s="1"/>
  <c r="AH18" i="8"/>
  <c r="AH17" i="8"/>
  <c r="AW16" i="8"/>
  <c r="AV16" i="8"/>
  <c r="AU16" i="8"/>
  <c r="AT16" i="8"/>
  <c r="AS16" i="8"/>
  <c r="AQ16" i="8"/>
  <c r="AP16" i="8"/>
  <c r="AO16" i="8"/>
  <c r="AN16" i="8"/>
  <c r="AM16" i="8"/>
  <c r="AK16" i="8"/>
  <c r="AI16" i="8"/>
  <c r="AC16" i="8" s="1"/>
  <c r="AH16" i="8"/>
  <c r="AW15" i="8"/>
  <c r="AV15" i="8"/>
  <c r="AU15" i="8"/>
  <c r="AT15" i="8"/>
  <c r="AS15" i="8"/>
  <c r="AR15" i="8"/>
  <c r="AP15" i="8"/>
  <c r="AO15" i="8"/>
  <c r="AN15" i="8"/>
  <c r="AM15" i="8"/>
  <c r="AL15" i="8"/>
  <c r="AI15" i="8"/>
  <c r="AC15" i="8" s="1"/>
  <c r="AH15" i="8"/>
  <c r="AW14" i="8"/>
  <c r="AU14" i="8"/>
  <c r="AT14" i="8"/>
  <c r="AS14" i="8"/>
  <c r="AR14" i="8"/>
  <c r="AP14" i="8"/>
  <c r="AO14" i="8"/>
  <c r="AN14" i="8"/>
  <c r="AM14" i="8"/>
  <c r="AL14" i="8"/>
  <c r="AK14" i="8"/>
  <c r="AI14" i="8"/>
  <c r="AC14" i="8" s="1"/>
  <c r="AH14" i="8"/>
  <c r="AV13" i="8"/>
  <c r="AU13" i="8"/>
  <c r="AT13" i="8"/>
  <c r="AR13" i="8"/>
  <c r="AQ13" i="8"/>
  <c r="AP13" i="8"/>
  <c r="AO13" i="8"/>
  <c r="AN13" i="8"/>
  <c r="AL13" i="8"/>
  <c r="AK13" i="8"/>
  <c r="AI13" i="8"/>
  <c r="AC13" i="8" s="1"/>
  <c r="AH13" i="8"/>
  <c r="AH12" i="8"/>
  <c r="AW11" i="8"/>
  <c r="AV11" i="8"/>
  <c r="AU11" i="8"/>
  <c r="AT11" i="8"/>
  <c r="AR11" i="8"/>
  <c r="AQ11" i="8"/>
  <c r="AP11" i="8"/>
  <c r="AO11" i="8"/>
  <c r="AN11" i="8"/>
  <c r="AL11" i="8"/>
  <c r="AK11" i="8"/>
  <c r="AI11" i="8"/>
  <c r="AC11" i="8" s="1"/>
  <c r="AH11" i="8"/>
  <c r="AW10" i="8"/>
  <c r="AV10" i="8"/>
  <c r="AU10" i="8"/>
  <c r="AT10" i="8"/>
  <c r="AS10" i="8"/>
  <c r="AR10" i="8"/>
  <c r="AP10" i="8"/>
  <c r="AO10" i="8"/>
  <c r="AN10" i="8"/>
  <c r="AM10" i="8"/>
  <c r="AK10" i="8"/>
  <c r="AI10" i="8"/>
  <c r="AC10" i="8" s="1"/>
  <c r="AH10" i="8"/>
  <c r="AW9" i="8"/>
  <c r="AV9" i="8"/>
  <c r="AU9" i="8"/>
  <c r="AT9" i="8"/>
  <c r="AS9" i="8"/>
  <c r="AR9" i="8"/>
  <c r="AP9" i="8"/>
  <c r="AO9" i="8"/>
  <c r="AN9" i="8"/>
  <c r="AM9" i="8"/>
  <c r="AK9" i="8"/>
  <c r="AI9" i="8"/>
  <c r="AC9" i="8" s="1"/>
  <c r="AH9" i="8"/>
  <c r="AW8" i="8"/>
  <c r="AV8" i="8"/>
  <c r="AU8" i="8"/>
  <c r="AT8" i="8"/>
  <c r="AS8" i="8"/>
  <c r="AR8" i="8"/>
  <c r="AP8" i="8"/>
  <c r="AO8" i="8"/>
  <c r="AN8" i="8"/>
  <c r="AM8" i="8"/>
  <c r="AL8" i="8"/>
  <c r="AI8" i="8"/>
  <c r="AC8" i="8" s="1"/>
  <c r="AH8" i="8"/>
  <c r="AW5" i="8"/>
  <c r="AU5" i="8"/>
  <c r="AT5" i="8"/>
  <c r="AS5" i="8"/>
  <c r="AR5" i="8"/>
  <c r="AP5" i="8"/>
  <c r="AO5" i="8"/>
  <c r="AN5" i="8"/>
  <c r="AM5" i="8"/>
  <c r="AL5" i="8"/>
  <c r="AK5" i="8"/>
  <c r="AI5" i="8"/>
  <c r="AC5" i="8" s="1"/>
  <c r="AH5" i="8"/>
  <c r="AW4" i="8"/>
  <c r="AU4" i="8"/>
  <c r="AT4" i="8"/>
  <c r="AS4" i="8"/>
  <c r="AR4" i="8"/>
  <c r="AP4" i="8"/>
  <c r="AO4" i="8"/>
  <c r="AN4" i="8"/>
  <c r="AM4" i="8"/>
  <c r="AL4" i="8"/>
  <c r="AK4" i="8"/>
  <c r="AI4" i="8"/>
  <c r="AC4" i="8" s="1"/>
  <c r="AH4" i="8"/>
  <c r="AW23" i="7"/>
  <c r="AU23" i="7"/>
  <c r="AT23" i="7"/>
  <c r="AR23" i="7"/>
  <c r="AQ23" i="7"/>
  <c r="AO23" i="7"/>
  <c r="AN23" i="7"/>
  <c r="AL23" i="7"/>
  <c r="AK23" i="7"/>
  <c r="AH23" i="7"/>
  <c r="AW22" i="7"/>
  <c r="AV22" i="7"/>
  <c r="AT22" i="7"/>
  <c r="AS22" i="7"/>
  <c r="AQ22" i="7"/>
  <c r="AP22" i="7"/>
  <c r="AN22" i="7"/>
  <c r="AM22" i="7"/>
  <c r="AK22" i="7"/>
  <c r="AH22" i="7"/>
  <c r="AV21" i="7"/>
  <c r="AU21" i="7"/>
  <c r="AS21" i="7"/>
  <c r="AR21" i="7"/>
  <c r="AP21" i="7"/>
  <c r="AO21" i="7"/>
  <c r="AM21" i="7"/>
  <c r="AL21" i="7"/>
  <c r="AH21" i="7"/>
  <c r="AW20" i="7"/>
  <c r="AU20" i="7"/>
  <c r="AT20" i="7"/>
  <c r="AR20" i="7"/>
  <c r="AQ20" i="7"/>
  <c r="AO20" i="7"/>
  <c r="AN20" i="7"/>
  <c r="AL20" i="7"/>
  <c r="AK20" i="7"/>
  <c r="AH20" i="7"/>
  <c r="AW19" i="7"/>
  <c r="AU19" i="7"/>
  <c r="AT19" i="7"/>
  <c r="AS19" i="7"/>
  <c r="AQ19" i="7"/>
  <c r="AO19" i="7"/>
  <c r="AN19" i="7"/>
  <c r="AL19" i="7"/>
  <c r="AK19" i="7"/>
  <c r="AH19" i="7"/>
  <c r="AV18" i="7"/>
  <c r="AU18" i="7"/>
  <c r="AS18" i="7"/>
  <c r="AR18" i="7"/>
  <c r="AP18" i="7"/>
  <c r="AO18" i="7"/>
  <c r="AM18" i="7"/>
  <c r="AL18" i="7"/>
  <c r="AH18" i="7"/>
  <c r="AV17" i="7"/>
  <c r="AU17" i="7"/>
  <c r="AS17" i="7"/>
  <c r="AR17" i="7"/>
  <c r="AP17" i="7"/>
  <c r="AO17" i="7"/>
  <c r="AM17" i="7"/>
  <c r="AL17" i="7"/>
  <c r="AH17" i="7"/>
  <c r="AW16" i="7"/>
  <c r="AV16" i="7"/>
  <c r="AT16" i="7"/>
  <c r="AS16" i="7"/>
  <c r="AQ16" i="7"/>
  <c r="AP16" i="7"/>
  <c r="AN16" i="7"/>
  <c r="AM16" i="7"/>
  <c r="AK16" i="7"/>
  <c r="AH16" i="7"/>
  <c r="AW15" i="7"/>
  <c r="AU15" i="7"/>
  <c r="AT15" i="7"/>
  <c r="AR15" i="7"/>
  <c r="AQ15" i="7"/>
  <c r="AO15" i="7"/>
  <c r="AN15" i="7"/>
  <c r="AL15" i="7"/>
  <c r="AK15" i="7"/>
  <c r="AH15" i="7"/>
  <c r="AW14" i="7"/>
  <c r="AV14" i="7"/>
  <c r="AT14" i="7"/>
  <c r="AS14" i="7"/>
  <c r="AQ14" i="7"/>
  <c r="AP14" i="7"/>
  <c r="AN14" i="7"/>
  <c r="AM14" i="7"/>
  <c r="AK14" i="7"/>
  <c r="AH14" i="7"/>
  <c r="AV13" i="7"/>
  <c r="AU13" i="7"/>
  <c r="AS13" i="7"/>
  <c r="AR13" i="7"/>
  <c r="AP13" i="7"/>
  <c r="AO13" i="7"/>
  <c r="AM13" i="7"/>
  <c r="AL13" i="7"/>
  <c r="AH13" i="7"/>
  <c r="AW12" i="7"/>
  <c r="AV12" i="7"/>
  <c r="AT12" i="7"/>
  <c r="AS12" i="7"/>
  <c r="AQ12" i="7"/>
  <c r="AP12" i="7"/>
  <c r="AN12" i="7"/>
  <c r="AM12" i="7"/>
  <c r="AK12" i="7"/>
  <c r="AH12" i="7"/>
  <c r="AV11" i="7"/>
  <c r="AU11" i="7"/>
  <c r="AS11" i="7"/>
  <c r="AR11" i="7"/>
  <c r="AP11" i="7"/>
  <c r="AO11" i="7"/>
  <c r="AM11" i="7"/>
  <c r="AL11" i="7"/>
  <c r="AH11" i="7"/>
  <c r="AV10" i="7"/>
  <c r="AS10" i="7"/>
  <c r="AP10" i="7"/>
  <c r="AM10" i="7"/>
  <c r="AH10" i="7"/>
  <c r="AW9" i="7"/>
  <c r="AV9" i="7"/>
  <c r="AT9" i="7"/>
  <c r="AS9" i="7"/>
  <c r="AQ9" i="7"/>
  <c r="AP9" i="7"/>
  <c r="AN9" i="7"/>
  <c r="AM9" i="7"/>
  <c r="AH9" i="7"/>
  <c r="AW8" i="7"/>
  <c r="AU8" i="7"/>
  <c r="AT8" i="7"/>
  <c r="AR8" i="7"/>
  <c r="AQ8" i="7"/>
  <c r="AO8" i="7"/>
  <c r="AN8" i="7"/>
  <c r="AL8" i="7"/>
  <c r="AK8" i="7"/>
  <c r="AH8" i="7"/>
  <c r="AW5" i="7"/>
  <c r="AV5" i="7"/>
  <c r="AT5" i="7"/>
  <c r="AS5" i="7"/>
  <c r="AQ5" i="7"/>
  <c r="AP5" i="7"/>
  <c r="AN5" i="7"/>
  <c r="AM5" i="7"/>
  <c r="AK5" i="7"/>
  <c r="AH5" i="7"/>
  <c r="AW4" i="7"/>
  <c r="AV4" i="7"/>
  <c r="AT4" i="7"/>
  <c r="AS4" i="7"/>
  <c r="AQ4" i="7"/>
  <c r="AP4" i="7"/>
  <c r="AN4" i="7"/>
  <c r="AM4" i="7"/>
  <c r="AK4" i="7"/>
  <c r="AH4" i="7"/>
  <c r="AL2" i="8"/>
  <c r="AL7" i="8" s="1"/>
  <c r="AL2" i="7"/>
  <c r="AM2" i="7" s="1"/>
  <c r="AN2" i="7" s="1"/>
  <c r="AO2" i="7" s="1"/>
  <c r="AP2" i="7" s="1"/>
  <c r="AQ2" i="7" s="1"/>
  <c r="AR2" i="7" s="1"/>
  <c r="AS2" i="7" s="1"/>
  <c r="AT2" i="7" s="1"/>
  <c r="AU2" i="7" s="1"/>
  <c r="AV2" i="7" s="1"/>
  <c r="AW2" i="7" s="1"/>
  <c r="AW12" i="6"/>
  <c r="AV12" i="6"/>
  <c r="AT12" i="6"/>
  <c r="AS12" i="6"/>
  <c r="AQ12" i="6"/>
  <c r="AP12" i="6"/>
  <c r="AN12" i="6"/>
  <c r="AM12" i="6"/>
  <c r="AK12" i="6"/>
  <c r="AH12" i="6"/>
  <c r="AV11" i="6"/>
  <c r="AU11" i="6"/>
  <c r="AS11" i="6"/>
  <c r="AR11" i="6"/>
  <c r="AP11" i="6"/>
  <c r="AO11" i="6"/>
  <c r="AM11" i="6"/>
  <c r="AL11" i="6"/>
  <c r="AH11" i="6"/>
  <c r="AV10" i="6"/>
  <c r="AS10" i="6"/>
  <c r="AP10" i="6"/>
  <c r="AH10" i="6"/>
  <c r="AW9" i="6"/>
  <c r="AV9" i="6"/>
  <c r="AT9" i="6"/>
  <c r="AS9" i="6"/>
  <c r="AQ9" i="6"/>
  <c r="AP9" i="6"/>
  <c r="AN9" i="6"/>
  <c r="AM9" i="6"/>
  <c r="AK9" i="6"/>
  <c r="AH9" i="6"/>
  <c r="AW8" i="6"/>
  <c r="AU8" i="6"/>
  <c r="AT8" i="6"/>
  <c r="AR8" i="6"/>
  <c r="AQ8" i="6"/>
  <c r="AO8" i="6"/>
  <c r="AN8" i="6"/>
  <c r="AL8" i="6"/>
  <c r="AK8" i="6"/>
  <c r="AH8" i="6"/>
  <c r="AW5" i="6"/>
  <c r="AV5" i="6"/>
  <c r="AT5" i="6"/>
  <c r="AS5" i="6"/>
  <c r="AQ5" i="6"/>
  <c r="AP5" i="6"/>
  <c r="AN5" i="6"/>
  <c r="AM5" i="6"/>
  <c r="AK5" i="6"/>
  <c r="AH5" i="6"/>
  <c r="AW4" i="6"/>
  <c r="AV4" i="6"/>
  <c r="AT4" i="6"/>
  <c r="AS4" i="6"/>
  <c r="AQ4" i="6"/>
  <c r="AP4" i="6"/>
  <c r="AN4" i="6"/>
  <c r="AM4" i="6"/>
  <c r="AK4" i="6"/>
  <c r="AH4" i="6"/>
  <c r="AW23" i="6"/>
  <c r="AU23" i="6"/>
  <c r="AT23" i="6"/>
  <c r="AR23" i="6"/>
  <c r="AQ23" i="6"/>
  <c r="AO23" i="6"/>
  <c r="AN23" i="6"/>
  <c r="AL23" i="6"/>
  <c r="AK23" i="6"/>
  <c r="AH23" i="6"/>
  <c r="AW22" i="6"/>
  <c r="AV22" i="6"/>
  <c r="AT22" i="6"/>
  <c r="AS22" i="6"/>
  <c r="AQ22" i="6"/>
  <c r="AP22" i="6"/>
  <c r="AN22" i="6"/>
  <c r="AM22" i="6"/>
  <c r="AK22" i="6"/>
  <c r="AH22" i="6"/>
  <c r="AV21" i="6"/>
  <c r="AU21" i="6"/>
  <c r="AS21" i="6"/>
  <c r="AR21" i="6"/>
  <c r="AP21" i="6"/>
  <c r="AO21" i="6"/>
  <c r="AM21" i="6"/>
  <c r="AL21" i="6"/>
  <c r="AH21" i="6"/>
  <c r="AW20" i="6"/>
  <c r="AU20" i="6"/>
  <c r="AT20" i="6"/>
  <c r="AR20" i="6"/>
  <c r="AQ20" i="6"/>
  <c r="AO20" i="6"/>
  <c r="AN20" i="6"/>
  <c r="AL20" i="6"/>
  <c r="AK20" i="6"/>
  <c r="AH20" i="6"/>
  <c r="AW19" i="6"/>
  <c r="AU19" i="6"/>
  <c r="AT19" i="6"/>
  <c r="AS19" i="6"/>
  <c r="AQ19" i="6"/>
  <c r="AO19" i="6"/>
  <c r="AN19" i="6"/>
  <c r="AL19" i="6"/>
  <c r="AK19" i="6"/>
  <c r="AH19" i="6"/>
  <c r="AV18" i="6"/>
  <c r="AU18" i="6"/>
  <c r="AS18" i="6"/>
  <c r="AR18" i="6"/>
  <c r="AP18" i="6"/>
  <c r="AO18" i="6"/>
  <c r="AM18" i="6"/>
  <c r="AL18" i="6"/>
  <c r="AH18" i="6"/>
  <c r="AV17" i="6"/>
  <c r="AU17" i="6"/>
  <c r="AS17" i="6"/>
  <c r="AR17" i="6"/>
  <c r="AP17" i="6"/>
  <c r="AO17" i="6"/>
  <c r="AM17" i="6"/>
  <c r="AL17" i="6"/>
  <c r="AH17" i="6"/>
  <c r="AW16" i="6"/>
  <c r="AV16" i="6"/>
  <c r="AT16" i="6"/>
  <c r="AS16" i="6"/>
  <c r="AQ16" i="6"/>
  <c r="AP16" i="6"/>
  <c r="AN16" i="6"/>
  <c r="AM16" i="6"/>
  <c r="AK16" i="6"/>
  <c r="AH16" i="6"/>
  <c r="AW15" i="6"/>
  <c r="AU15" i="6"/>
  <c r="AT15" i="6"/>
  <c r="AR15" i="6"/>
  <c r="AQ15" i="6"/>
  <c r="AO15" i="6"/>
  <c r="AN15" i="6"/>
  <c r="AL15" i="6"/>
  <c r="AK15" i="6"/>
  <c r="AH15" i="6"/>
  <c r="AW14" i="6"/>
  <c r="AV14" i="6"/>
  <c r="AT14" i="6"/>
  <c r="AS14" i="6"/>
  <c r="AQ14" i="6"/>
  <c r="AP14" i="6"/>
  <c r="AN14" i="6"/>
  <c r="AM14" i="6"/>
  <c r="AK14" i="6"/>
  <c r="AH14" i="6"/>
  <c r="AV13" i="6"/>
  <c r="AU13" i="6"/>
  <c r="AS13" i="6"/>
  <c r="AR13" i="6"/>
  <c r="AP13" i="6"/>
  <c r="AO13" i="6"/>
  <c r="AM13" i="6"/>
  <c r="AL13" i="6"/>
  <c r="AH13" i="6"/>
  <c r="AL2" i="6"/>
  <c r="AM2" i="6" s="1"/>
  <c r="AL2" i="5"/>
  <c r="AM2" i="5" s="1"/>
  <c r="AN2" i="5" s="1"/>
  <c r="AO2" i="5" s="1"/>
  <c r="AP2" i="5" s="1"/>
  <c r="AQ2" i="5" s="1"/>
  <c r="AR2" i="5" s="1"/>
  <c r="AS2" i="5" s="1"/>
  <c r="AT2" i="5" s="1"/>
  <c r="AU2" i="5" s="1"/>
  <c r="AV2" i="5" s="1"/>
  <c r="AW2" i="5" s="1"/>
  <c r="J1" i="2"/>
  <c r="I1" i="2"/>
  <c r="D1" i="2"/>
  <c r="D160" i="2" s="1"/>
  <c r="A1" i="2"/>
  <c r="A160" i="2" s="1"/>
  <c r="V70" i="2"/>
  <c r="W68" i="2"/>
  <c r="V68" i="2"/>
  <c r="W67" i="2"/>
  <c r="V67" i="2"/>
  <c r="U66" i="2"/>
  <c r="U68" i="2"/>
  <c r="U67" i="2"/>
  <c r="AN70" i="2"/>
  <c r="AN52" i="2"/>
  <c r="AN33" i="2"/>
  <c r="AN65" i="2"/>
  <c r="AO65" i="2" s="1"/>
  <c r="AP65" i="2" s="1"/>
  <c r="AQ65" i="2" s="1"/>
  <c r="AR65" i="2" s="1"/>
  <c r="AS65" i="2" s="1"/>
  <c r="AT65" i="2" s="1"/>
  <c r="AU65" i="2" s="1"/>
  <c r="AV65" i="2" s="1"/>
  <c r="AW65" i="2" s="1"/>
  <c r="AX65" i="2" s="1"/>
  <c r="AY65" i="2" s="1"/>
  <c r="AN47" i="2"/>
  <c r="AO47" i="2" s="1"/>
  <c r="AP47" i="2" s="1"/>
  <c r="AQ47" i="2" s="1"/>
  <c r="AR47" i="2" s="1"/>
  <c r="AS47" i="2" s="1"/>
  <c r="AT47" i="2" s="1"/>
  <c r="AU47" i="2" s="1"/>
  <c r="AV47" i="2" s="1"/>
  <c r="AW47" i="2" s="1"/>
  <c r="AX47" i="2" s="1"/>
  <c r="AY47" i="2" s="1"/>
  <c r="AN28" i="2"/>
  <c r="AO28" i="2" s="1"/>
  <c r="AP28" i="2" s="1"/>
  <c r="AQ28" i="2" s="1"/>
  <c r="AR28" i="2" s="1"/>
  <c r="AS28" i="2" s="1"/>
  <c r="AT28" i="2" s="1"/>
  <c r="AU28" i="2" s="1"/>
  <c r="AV28" i="2" s="1"/>
  <c r="AW28" i="2" s="1"/>
  <c r="AX28" i="2" s="1"/>
  <c r="AY28" i="2" s="1"/>
  <c r="AM66" i="2"/>
  <c r="AO68" i="2"/>
  <c r="AN68" i="2"/>
  <c r="AM68" i="2"/>
  <c r="AO67" i="2"/>
  <c r="AN67" i="2"/>
  <c r="AM67" i="2"/>
  <c r="AM48" i="2"/>
  <c r="AO49" i="2"/>
  <c r="AN49" i="2"/>
  <c r="AM49" i="2"/>
  <c r="AM29" i="2"/>
  <c r="AO30" i="2"/>
  <c r="AN30" i="2"/>
  <c r="AM30" i="2"/>
  <c r="V52" i="2"/>
  <c r="U48" i="2"/>
  <c r="W49" i="2"/>
  <c r="V49" i="2"/>
  <c r="U49" i="2"/>
  <c r="W30" i="2"/>
  <c r="V30" i="2"/>
  <c r="V33" i="2"/>
  <c r="D1" i="4"/>
  <c r="E1" i="4" s="1"/>
  <c r="F1" i="4" s="1"/>
  <c r="G1" i="4" s="1"/>
  <c r="H1" i="4" s="1"/>
  <c r="I1" i="4" s="1"/>
  <c r="J1" i="4" s="1"/>
  <c r="K1" i="4" s="1"/>
  <c r="L1" i="4" s="1"/>
  <c r="M1" i="4" s="1"/>
  <c r="N1" i="4" s="1"/>
  <c r="O1" i="4" s="1"/>
  <c r="D1" i="14"/>
  <c r="E1" i="14" s="1"/>
  <c r="F1" i="14" s="1"/>
  <c r="G1" i="14" s="1"/>
  <c r="H1" i="14" s="1"/>
  <c r="I1" i="14" s="1"/>
  <c r="J1" i="14" s="1"/>
  <c r="K1" i="14" s="1"/>
  <c r="L1" i="14" s="1"/>
  <c r="M1" i="14" s="1"/>
  <c r="N1" i="14" s="1"/>
  <c r="O1" i="14" s="1"/>
  <c r="D1" i="10"/>
  <c r="E1" i="10" s="1"/>
  <c r="F1" i="10" s="1"/>
  <c r="G1" i="10" s="1"/>
  <c r="H1" i="10" s="1"/>
  <c r="I1" i="10" s="1"/>
  <c r="J1" i="10" s="1"/>
  <c r="K1" i="10" s="1"/>
  <c r="L1" i="10" s="1"/>
  <c r="M1" i="10" s="1"/>
  <c r="N1" i="10" s="1"/>
  <c r="O1" i="10" s="1"/>
  <c r="D1" i="11"/>
  <c r="E1" i="11" s="1"/>
  <c r="F1" i="11" s="1"/>
  <c r="G1" i="11" s="1"/>
  <c r="H1" i="11" s="1"/>
  <c r="I1" i="11" s="1"/>
  <c r="J1" i="11" s="1"/>
  <c r="K1" i="11" s="1"/>
  <c r="L1" i="11" s="1"/>
  <c r="M1" i="11" s="1"/>
  <c r="N1" i="11" s="1"/>
  <c r="O1" i="11" s="1"/>
  <c r="D1" i="15"/>
  <c r="E1" i="15" s="1"/>
  <c r="F1" i="15" s="1"/>
  <c r="G1" i="15" s="1"/>
  <c r="H1" i="15" s="1"/>
  <c r="I1" i="15" s="1"/>
  <c r="J1" i="15" s="1"/>
  <c r="K1" i="15" s="1"/>
  <c r="L1" i="15" s="1"/>
  <c r="M1" i="15" s="1"/>
  <c r="N1" i="15" s="1"/>
  <c r="O1" i="15" s="1"/>
  <c r="D1" i="3"/>
  <c r="E1" i="3" s="1"/>
  <c r="F1" i="3" s="1"/>
  <c r="G1" i="3" s="1"/>
  <c r="H1" i="3" s="1"/>
  <c r="I1" i="3" s="1"/>
  <c r="J1" i="3" s="1"/>
  <c r="K1" i="3" s="1"/>
  <c r="L1" i="3" s="1"/>
  <c r="M1" i="3" s="1"/>
  <c r="N1" i="3" s="1"/>
  <c r="O1" i="3" s="1"/>
  <c r="U29" i="2"/>
  <c r="U30" i="2"/>
  <c r="AC121" i="2" l="1"/>
  <c r="AC118" i="2"/>
  <c r="AC120" i="2"/>
  <c r="AC119" i="2"/>
  <c r="AD84" i="2"/>
  <c r="AC88" i="2"/>
  <c r="AC87" i="2"/>
  <c r="AC89" i="2"/>
  <c r="AC86" i="2"/>
  <c r="D148" i="2"/>
  <c r="A27" i="2"/>
  <c r="A83" i="2" s="1"/>
  <c r="G148" i="2"/>
  <c r="D27" i="2"/>
  <c r="C83" i="2" s="1"/>
  <c r="AM10" i="6"/>
  <c r="W70" i="2"/>
  <c r="V69" i="2"/>
  <c r="V66" i="2" s="1"/>
  <c r="V51" i="2"/>
  <c r="V48" i="2" s="1"/>
  <c r="V32" i="2"/>
  <c r="V29" i="2" s="1"/>
  <c r="AO33" i="2"/>
  <c r="AO32" i="2" s="1"/>
  <c r="AO29" i="2" s="1"/>
  <c r="AN32" i="2"/>
  <c r="AN29" i="2" s="1"/>
  <c r="AO52" i="2"/>
  <c r="AO51" i="2" s="1"/>
  <c r="AO48" i="2" s="1"/>
  <c r="AN51" i="2"/>
  <c r="AN48" i="2" s="1"/>
  <c r="AO70" i="2"/>
  <c r="AO69" i="2" s="1"/>
  <c r="AO66" i="2" s="1"/>
  <c r="AN69" i="2"/>
  <c r="AN66" i="2" s="1"/>
  <c r="AS7" i="7"/>
  <c r="AM6" i="7"/>
  <c r="AS6" i="7"/>
  <c r="AY9" i="5"/>
  <c r="AP7" i="7"/>
  <c r="AV7" i="7"/>
  <c r="AP6" i="7"/>
  <c r="AN2" i="6"/>
  <c r="AO2" i="6" s="1"/>
  <c r="AP2" i="6" s="1"/>
  <c r="AP8" i="6" s="1"/>
  <c r="AM6" i="6"/>
  <c r="AM7" i="7"/>
  <c r="AV6" i="7"/>
  <c r="AM2" i="8"/>
  <c r="AN2" i="8" s="1"/>
  <c r="AO2" i="8" s="1"/>
  <c r="AP2" i="8" s="1"/>
  <c r="AQ2" i="8" s="1"/>
  <c r="AQ8" i="8" s="1"/>
  <c r="AL6" i="8"/>
  <c r="AM7" i="6"/>
  <c r="AW13" i="5"/>
  <c r="AU12" i="7"/>
  <c r="AR22" i="7"/>
  <c r="AU10" i="7"/>
  <c r="AW13" i="7"/>
  <c r="AN17" i="7"/>
  <c r="AW18" i="5"/>
  <c r="AN11" i="7"/>
  <c r="AT21" i="7"/>
  <c r="AK18" i="5"/>
  <c r="AM20" i="7"/>
  <c r="AL5" i="7"/>
  <c r="AP19" i="7"/>
  <c r="AR16" i="5"/>
  <c r="AL4" i="7"/>
  <c r="AK8" i="8"/>
  <c r="AL20" i="8"/>
  <c r="AR14" i="5"/>
  <c r="AZ8" i="2"/>
  <c r="AZ9" i="2" s="1"/>
  <c r="AZ10" i="2" s="1"/>
  <c r="AH8" i="2"/>
  <c r="AH9" i="2" s="1"/>
  <c r="AH10" i="2" s="1"/>
  <c r="W33" i="2"/>
  <c r="W52" i="2"/>
  <c r="W51" i="2" s="1"/>
  <c r="AQ17" i="7"/>
  <c r="AV20" i="5"/>
  <c r="AT21" i="5"/>
  <c r="AN21" i="5"/>
  <c r="AP23" i="5"/>
  <c r="AM8" i="7"/>
  <c r="AT17" i="5"/>
  <c r="AP19" i="5"/>
  <c r="AL9" i="7"/>
  <c r="AN17" i="5"/>
  <c r="AU14" i="5"/>
  <c r="AT11" i="7"/>
  <c r="AT17" i="7"/>
  <c r="AW17" i="7"/>
  <c r="AM15" i="5"/>
  <c r="AT13" i="7"/>
  <c r="AU16" i="5"/>
  <c r="AO12" i="7"/>
  <c r="AR16" i="7"/>
  <c r="AK17" i="7"/>
  <c r="AL23" i="8"/>
  <c r="AL14" i="5"/>
  <c r="AR14" i="7"/>
  <c r="AV15" i="5"/>
  <c r="AM20" i="5"/>
  <c r="AO5" i="7"/>
  <c r="AT18" i="7"/>
  <c r="AQ13" i="5"/>
  <c r="AS23" i="7"/>
  <c r="AS20" i="5"/>
  <c r="AV23" i="5"/>
  <c r="AM23" i="7"/>
  <c r="AT18" i="5"/>
  <c r="AV23" i="7"/>
  <c r="AO14" i="5"/>
  <c r="AQ17" i="5"/>
  <c r="AR19" i="7"/>
  <c r="AO22" i="7"/>
  <c r="AO22" i="5"/>
  <c r="AR4" i="7"/>
  <c r="AP20" i="7"/>
  <c r="AR22" i="5"/>
  <c r="AL12" i="7"/>
  <c r="AO4" i="7"/>
  <c r="AK15" i="8"/>
  <c r="AS8" i="7"/>
  <c r="AQ11" i="7"/>
  <c r="AS20" i="7"/>
  <c r="AP8" i="7"/>
  <c r="AV8" i="7"/>
  <c r="AU14" i="7"/>
  <c r="AW11" i="7"/>
  <c r="AQ13" i="7"/>
  <c r="AV15" i="7"/>
  <c r="AL14" i="7"/>
  <c r="AO14" i="7"/>
  <c r="AR10" i="7"/>
  <c r="AK9" i="7"/>
  <c r="AT10" i="7"/>
  <c r="AT13" i="5"/>
  <c r="AR19" i="5"/>
  <c r="AM23" i="5"/>
  <c r="AP20" i="5"/>
  <c r="AK21" i="5"/>
  <c r="AW21" i="5"/>
  <c r="AK13" i="5"/>
  <c r="AN18" i="5"/>
  <c r="AV19" i="5"/>
  <c r="AU22" i="5"/>
  <c r="AP15" i="5"/>
  <c r="AL16" i="5"/>
  <c r="AN13" i="5"/>
  <c r="AS23" i="5"/>
  <c r="AQ18" i="5"/>
  <c r="AM19" i="5"/>
  <c r="AL22" i="5"/>
  <c r="AS15" i="5"/>
  <c r="AO16" i="5"/>
  <c r="AQ21" i="5"/>
  <c r="AL9" i="8"/>
  <c r="AL10" i="8"/>
  <c r="AL16" i="8"/>
  <c r="AK18" i="7"/>
  <c r="AW18" i="7"/>
  <c r="AM15" i="7"/>
  <c r="AU16" i="7"/>
  <c r="AK21" i="7"/>
  <c r="AW21" i="7"/>
  <c r="AO9" i="7"/>
  <c r="AK13" i="7"/>
  <c r="AP23" i="7"/>
  <c r="AV19" i="7"/>
  <c r="AU22" i="7"/>
  <c r="AL10" i="7"/>
  <c r="AR5" i="7"/>
  <c r="AP15" i="7"/>
  <c r="AL16" i="7"/>
  <c r="AN21" i="7"/>
  <c r="AU4" i="7"/>
  <c r="AK10" i="7"/>
  <c r="AN18" i="7"/>
  <c r="AR9" i="7"/>
  <c r="AN10" i="7"/>
  <c r="AR12" i="7"/>
  <c r="AN13" i="7"/>
  <c r="AW10" i="7"/>
  <c r="AO10" i="7"/>
  <c r="AK11" i="7"/>
  <c r="AQ18" i="7"/>
  <c r="AM19" i="7"/>
  <c r="AL22" i="7"/>
  <c r="AU5" i="7"/>
  <c r="AS15" i="7"/>
  <c r="AO16" i="7"/>
  <c r="AV20" i="7"/>
  <c r="AQ21" i="7"/>
  <c r="AU9" i="7"/>
  <c r="AQ10" i="7"/>
  <c r="AL4" i="6"/>
  <c r="AL5" i="6"/>
  <c r="AM8" i="6"/>
  <c r="AL9" i="6"/>
  <c r="AL10" i="6"/>
  <c r="AK10" i="6"/>
  <c r="AK11" i="6"/>
  <c r="AL12" i="6"/>
  <c r="AK13" i="6"/>
  <c r="AL14" i="6"/>
  <c r="AM15" i="6"/>
  <c r="AL16" i="6"/>
  <c r="AK17" i="6"/>
  <c r="AK18" i="6"/>
  <c r="AM19" i="6"/>
  <c r="AM20" i="6"/>
  <c r="AK21" i="6"/>
  <c r="AL22" i="6"/>
  <c r="AM23" i="6"/>
  <c r="BX15" i="2"/>
  <c r="BX14" i="2" s="1"/>
  <c r="BX4" i="2" s="1"/>
  <c r="BY12" i="2"/>
  <c r="BY11" i="2" s="1"/>
  <c r="BX12" i="2"/>
  <c r="BX11" i="2" s="1"/>
  <c r="BW14" i="2"/>
  <c r="BW4" i="2" s="1"/>
  <c r="BW12" i="2"/>
  <c r="BW11" i="2" s="1"/>
  <c r="AD121" i="2" l="1"/>
  <c r="AD118" i="2"/>
  <c r="AD119" i="2"/>
  <c r="AD120" i="2"/>
  <c r="AE84" i="2"/>
  <c r="AD88" i="2"/>
  <c r="AD86" i="2"/>
  <c r="AD87" i="2"/>
  <c r="AD89" i="2"/>
  <c r="AP33" i="2"/>
  <c r="AQ33" i="2" s="1"/>
  <c r="AP32" i="2"/>
  <c r="X33" i="2"/>
  <c r="W32" i="2"/>
  <c r="W29" i="2" s="1"/>
  <c r="AP52" i="2"/>
  <c r="AP70" i="2"/>
  <c r="X70" i="2"/>
  <c r="W69" i="2"/>
  <c r="W66" i="2" s="1"/>
  <c r="AO22" i="6"/>
  <c r="AQ14" i="8"/>
  <c r="AO9" i="6"/>
  <c r="AO14" i="6"/>
  <c r="AP19" i="6"/>
  <c r="AO5" i="6"/>
  <c r="AP20" i="6"/>
  <c r="AN18" i="6"/>
  <c r="AN13" i="6"/>
  <c r="AN10" i="6"/>
  <c r="AO16" i="6"/>
  <c r="AO10" i="6"/>
  <c r="AN11" i="6"/>
  <c r="AO4" i="6"/>
  <c r="AP18" i="8"/>
  <c r="AM13" i="8"/>
  <c r="AN22" i="8"/>
  <c r="AR2" i="8"/>
  <c r="AQ6" i="8"/>
  <c r="AQ7" i="8"/>
  <c r="AQ2" i="6"/>
  <c r="AP6" i="6"/>
  <c r="AP7" i="6"/>
  <c r="AN17" i="6"/>
  <c r="AY20" i="5"/>
  <c r="AY23" i="5" s="1"/>
  <c r="AY10" i="5"/>
  <c r="AY20" i="7"/>
  <c r="AY23" i="7" s="1"/>
  <c r="AJ6" i="7"/>
  <c r="AD6" i="7" s="1"/>
  <c r="AQ15" i="8"/>
  <c r="AJ15" i="8" s="1"/>
  <c r="AD15" i="8" s="1"/>
  <c r="AN21" i="6"/>
  <c r="AQ5" i="8"/>
  <c r="AM11" i="8"/>
  <c r="AQ10" i="8"/>
  <c r="AJ10" i="8" s="1"/>
  <c r="AD10" i="8" s="1"/>
  <c r="AJ7" i="7"/>
  <c r="AD7" i="7" s="1"/>
  <c r="AY16" i="5"/>
  <c r="AY17" i="5" s="1"/>
  <c r="AY18" i="5" s="1"/>
  <c r="AY19" i="5" s="1"/>
  <c r="AQ9" i="8"/>
  <c r="AJ9" i="8" s="1"/>
  <c r="AD9" i="8" s="1"/>
  <c r="AQ4" i="8"/>
  <c r="AP15" i="6"/>
  <c r="AO12" i="6"/>
  <c r="AY16" i="7"/>
  <c r="AY17" i="7" s="1"/>
  <c r="AY18" i="7" s="1"/>
  <c r="AY19" i="7" s="1"/>
  <c r="AP23" i="6"/>
  <c r="AJ23" i="5"/>
  <c r="AD23" i="5" s="1"/>
  <c r="AJ12" i="7"/>
  <c r="AD12" i="7" s="1"/>
  <c r="AJ22" i="7"/>
  <c r="AD22" i="7" s="1"/>
  <c r="AJ15" i="7"/>
  <c r="AD15" i="7" s="1"/>
  <c r="AJ20" i="5"/>
  <c r="AD20" i="5" s="1"/>
  <c r="AJ15" i="5"/>
  <c r="AD15" i="5" s="1"/>
  <c r="AJ22" i="5"/>
  <c r="AD22" i="5" s="1"/>
  <c r="AJ23" i="7"/>
  <c r="AD23" i="7" s="1"/>
  <c r="AJ8" i="8"/>
  <c r="AD8" i="8" s="1"/>
  <c r="AJ4" i="7"/>
  <c r="AD4" i="7" s="1"/>
  <c r="BT7" i="2" s="1"/>
  <c r="AJ19" i="5"/>
  <c r="AD19" i="5" s="1"/>
  <c r="AJ5" i="7"/>
  <c r="AD5" i="7" s="1"/>
  <c r="AJ14" i="7"/>
  <c r="AD14" i="7" s="1"/>
  <c r="AJ21" i="7"/>
  <c r="AD21" i="7" s="1"/>
  <c r="AJ16" i="7"/>
  <c r="AD16" i="7" s="1"/>
  <c r="AJ17" i="5"/>
  <c r="AD17" i="5" s="1"/>
  <c r="AJ8" i="7"/>
  <c r="AD8" i="7" s="1"/>
  <c r="AJ11" i="7"/>
  <c r="AD11" i="7" s="1"/>
  <c r="AJ13" i="5"/>
  <c r="AD13" i="5" s="1"/>
  <c r="AJ18" i="7"/>
  <c r="AD18" i="7" s="1"/>
  <c r="AJ16" i="5"/>
  <c r="AD16" i="5" s="1"/>
  <c r="AJ20" i="7"/>
  <c r="AD20" i="7" s="1"/>
  <c r="AJ9" i="7"/>
  <c r="AD9" i="7" s="1"/>
  <c r="AJ17" i="7"/>
  <c r="AD17" i="7" s="1"/>
  <c r="AJ18" i="5"/>
  <c r="AD18" i="5" s="1"/>
  <c r="AJ19" i="7"/>
  <c r="AD19" i="7" s="1"/>
  <c r="AJ10" i="7"/>
  <c r="AD10" i="7" s="1"/>
  <c r="AJ13" i="7"/>
  <c r="AD13" i="7" s="1"/>
  <c r="AJ14" i="5"/>
  <c r="AD14" i="5" s="1"/>
  <c r="AJ21" i="5"/>
  <c r="AD21" i="5" s="1"/>
  <c r="BY15" i="2"/>
  <c r="X52" i="2"/>
  <c r="W48" i="2"/>
  <c r="AY4" i="7"/>
  <c r="AY13" i="5"/>
  <c r="AY14" i="5" s="1"/>
  <c r="AY15" i="5" s="1"/>
  <c r="AY13" i="7"/>
  <c r="AY14" i="7" s="1"/>
  <c r="BY8" i="2"/>
  <c r="BY9" i="2" s="1"/>
  <c r="BY10" i="2" s="1"/>
  <c r="BX8" i="2"/>
  <c r="BX9" i="2" s="1"/>
  <c r="BX10" i="2" s="1"/>
  <c r="BW8" i="2"/>
  <c r="BW9" i="2" s="1"/>
  <c r="BW10" i="2" s="1"/>
  <c r="BF15" i="2"/>
  <c r="BG15" i="2" s="1"/>
  <c r="BG14" i="2" s="1"/>
  <c r="BG4" i="2" s="1"/>
  <c r="BG12" i="2"/>
  <c r="BG11" i="2" s="1"/>
  <c r="BF12" i="2"/>
  <c r="BF11" i="2" s="1"/>
  <c r="BE14" i="2"/>
  <c r="BE4" i="2" s="1"/>
  <c r="BE12" i="2"/>
  <c r="BE11" i="2" s="1"/>
  <c r="AE119" i="2" l="1"/>
  <c r="AE120" i="2"/>
  <c r="AE121" i="2"/>
  <c r="AE118" i="2"/>
  <c r="BF14" i="2"/>
  <c r="BF4" i="2" s="1"/>
  <c r="AF84" i="2"/>
  <c r="AE88" i="2"/>
  <c r="AE86" i="2"/>
  <c r="AE87" i="2"/>
  <c r="AE89" i="2"/>
  <c r="AQ52" i="2"/>
  <c r="AP51" i="2"/>
  <c r="AQ70" i="2"/>
  <c r="AP69" i="2"/>
  <c r="Y33" i="2"/>
  <c r="X32" i="2"/>
  <c r="Y70" i="2"/>
  <c r="X69" i="2"/>
  <c r="Y52" i="2"/>
  <c r="X51" i="2"/>
  <c r="AR33" i="2"/>
  <c r="AQ32" i="2"/>
  <c r="AY5" i="7"/>
  <c r="AY11" i="5"/>
  <c r="AY21" i="7"/>
  <c r="AY15" i="7"/>
  <c r="AY21" i="5"/>
  <c r="AR2" i="6"/>
  <c r="AQ10" i="6"/>
  <c r="AQ18" i="6"/>
  <c r="AQ21" i="6"/>
  <c r="AQ13" i="6"/>
  <c r="AQ17" i="6"/>
  <c r="AQ11" i="6"/>
  <c r="AS2" i="8"/>
  <c r="AR16" i="8"/>
  <c r="AR20" i="8"/>
  <c r="AR23" i="8"/>
  <c r="AY6" i="7"/>
  <c r="BZ15" i="2"/>
  <c r="CA15" i="2" s="1"/>
  <c r="CB15" i="2" s="1"/>
  <c r="CC15" i="2" s="1"/>
  <c r="CD15" i="2" s="1"/>
  <c r="CE15" i="2" s="1"/>
  <c r="CF15" i="2" s="1"/>
  <c r="CG15" i="2" s="1"/>
  <c r="CH15" i="2" s="1"/>
  <c r="CI15" i="2" s="1"/>
  <c r="BY14" i="2"/>
  <c r="BY4" i="2" s="1"/>
  <c r="BE8" i="2"/>
  <c r="BE9" i="2" s="1"/>
  <c r="BE10" i="2" s="1"/>
  <c r="BG8" i="2"/>
  <c r="BG9" i="2" s="1"/>
  <c r="BG10" i="2" s="1"/>
  <c r="BH15" i="2"/>
  <c r="BI15" i="2" s="1"/>
  <c r="BJ15" i="2" s="1"/>
  <c r="BK15" i="2" s="1"/>
  <c r="BL15" i="2" s="1"/>
  <c r="BM15" i="2" s="1"/>
  <c r="BN15" i="2" s="1"/>
  <c r="BO15" i="2" s="1"/>
  <c r="BP15" i="2" s="1"/>
  <c r="BQ15" i="2" s="1"/>
  <c r="BF8" i="2"/>
  <c r="BF9" i="2" s="1"/>
  <c r="BF10" i="2" s="1"/>
  <c r="AG12" i="2"/>
  <c r="AG8" i="2" s="1"/>
  <c r="AG9" i="2" s="1"/>
  <c r="AG10" i="2" s="1"/>
  <c r="AF12" i="2"/>
  <c r="AF11" i="2" s="1"/>
  <c r="AE12" i="2"/>
  <c r="AE8" i="2" s="1"/>
  <c r="AE9" i="2" s="1"/>
  <c r="AE10" i="2" s="1"/>
  <c r="AD12" i="2"/>
  <c r="AD8" i="2" s="1"/>
  <c r="AD9" i="2" s="1"/>
  <c r="AD10" i="2" s="1"/>
  <c r="AC12" i="2"/>
  <c r="AC11" i="2" s="1"/>
  <c r="AB12" i="2"/>
  <c r="AB8" i="2" s="1"/>
  <c r="AB9" i="2" s="1"/>
  <c r="AB10" i="2" s="1"/>
  <c r="AA12" i="2"/>
  <c r="AA8" i="2" s="1"/>
  <c r="AA9" i="2" s="1"/>
  <c r="AA10" i="2" s="1"/>
  <c r="Z12" i="2"/>
  <c r="Z8" i="2" s="1"/>
  <c r="Z9" i="2" s="1"/>
  <c r="Z10" i="2" s="1"/>
  <c r="Y12" i="2"/>
  <c r="Y11" i="2" s="1"/>
  <c r="X12" i="2"/>
  <c r="X11" i="2" s="1"/>
  <c r="W12" i="2"/>
  <c r="W11" i="2" s="1"/>
  <c r="V12" i="2"/>
  <c r="V11" i="2" s="1"/>
  <c r="U4" i="2"/>
  <c r="V15" i="2"/>
  <c r="U12" i="2"/>
  <c r="U11" i="2" s="1"/>
  <c r="AF121" i="2" l="1"/>
  <c r="AF119" i="2"/>
  <c r="AF120" i="2"/>
  <c r="AF118" i="2"/>
  <c r="AG84" i="2"/>
  <c r="AF89" i="2"/>
  <c r="AF86" i="2"/>
  <c r="AF88" i="2"/>
  <c r="AF87" i="2"/>
  <c r="Z52" i="2"/>
  <c r="Y51" i="2"/>
  <c r="AS33" i="2"/>
  <c r="AR32" i="2"/>
  <c r="Z70" i="2"/>
  <c r="Y69" i="2"/>
  <c r="Z33" i="2"/>
  <c r="Y32" i="2"/>
  <c r="AR70" i="2"/>
  <c r="AQ69" i="2"/>
  <c r="V14" i="2"/>
  <c r="V4" i="2" s="1"/>
  <c r="AR52" i="2"/>
  <c r="AQ51" i="2"/>
  <c r="AJ16" i="8"/>
  <c r="AD16" i="8" s="1"/>
  <c r="AS2" i="6"/>
  <c r="AR10" i="6"/>
  <c r="AR12" i="6"/>
  <c r="AR4" i="6"/>
  <c r="AR5" i="6"/>
  <c r="AR16" i="6"/>
  <c r="AR19" i="6"/>
  <c r="AR9" i="6"/>
  <c r="AR22" i="6"/>
  <c r="AR14" i="6"/>
  <c r="AY22" i="5"/>
  <c r="AJ23" i="8"/>
  <c r="AD23" i="8" s="1"/>
  <c r="AY12" i="5"/>
  <c r="AY22" i="7"/>
  <c r="AY20" i="8"/>
  <c r="AJ20" i="8"/>
  <c r="AD20" i="8" s="1"/>
  <c r="AT2" i="8"/>
  <c r="AU2" i="8" s="1"/>
  <c r="AS11" i="8"/>
  <c r="AS13" i="8"/>
  <c r="AY7" i="7"/>
  <c r="W15" i="2"/>
  <c r="W14" i="2" s="1"/>
  <c r="AF8" i="2"/>
  <c r="AF9" i="2" s="1"/>
  <c r="AF10" i="2" s="1"/>
  <c r="AG11" i="2"/>
  <c r="AE11" i="2"/>
  <c r="AA11" i="2"/>
  <c r="AD11" i="2"/>
  <c r="AB11" i="2"/>
  <c r="AC8" i="2"/>
  <c r="AC9" i="2" s="1"/>
  <c r="AC10" i="2" s="1"/>
  <c r="Z11" i="2"/>
  <c r="X8" i="2"/>
  <c r="X9" i="2" s="1"/>
  <c r="X10" i="2" s="1"/>
  <c r="Y8" i="2"/>
  <c r="Y9" i="2" s="1"/>
  <c r="Y10" i="2" s="1"/>
  <c r="W8" i="2"/>
  <c r="W9" i="2" s="1"/>
  <c r="W10" i="2" s="1"/>
  <c r="V8" i="2"/>
  <c r="V9" i="2" s="1"/>
  <c r="V10" i="2" s="1"/>
  <c r="U8" i="2"/>
  <c r="U9" i="2" s="1"/>
  <c r="U10" i="2" s="1"/>
  <c r="AG119" i="2" l="1"/>
  <c r="AG121" i="2"/>
  <c r="AG120" i="2"/>
  <c r="AG118" i="2"/>
  <c r="AH84" i="2"/>
  <c r="AG86" i="2"/>
  <c r="AG89" i="2"/>
  <c r="AG87" i="2"/>
  <c r="AG88" i="2"/>
  <c r="AA33" i="2"/>
  <c r="Z32" i="2"/>
  <c r="AA70" i="2"/>
  <c r="Z69" i="2"/>
  <c r="AT33" i="2"/>
  <c r="AS32" i="2"/>
  <c r="AS70" i="2"/>
  <c r="AR69" i="2"/>
  <c r="AS52" i="2"/>
  <c r="AR51" i="2"/>
  <c r="AA52" i="2"/>
  <c r="Z51" i="2"/>
  <c r="AJ13" i="8"/>
  <c r="AD13" i="8" s="1"/>
  <c r="AT2" i="6"/>
  <c r="AS6" i="6"/>
  <c r="AS7" i="6"/>
  <c r="AS15" i="6"/>
  <c r="AS8" i="6"/>
  <c r="AS23" i="6"/>
  <c r="AS20" i="6"/>
  <c r="AY23" i="8"/>
  <c r="AJ11" i="8"/>
  <c r="AD11" i="8" s="1"/>
  <c r="AV2" i="8"/>
  <c r="AU22" i="8"/>
  <c r="AY8" i="7"/>
  <c r="X15" i="2"/>
  <c r="X14" i="2" s="1"/>
  <c r="W4" i="2"/>
  <c r="AY12" i="2"/>
  <c r="AY11" i="2" s="1"/>
  <c r="AX12" i="2"/>
  <c r="AX8" i="2" s="1"/>
  <c r="AX9" i="2" s="1"/>
  <c r="AX10" i="2" s="1"/>
  <c r="AW12" i="2"/>
  <c r="AW8" i="2" s="1"/>
  <c r="AW9" i="2" s="1"/>
  <c r="AW10" i="2" s="1"/>
  <c r="AV12" i="2"/>
  <c r="AV8" i="2" s="1"/>
  <c r="AV9" i="2" s="1"/>
  <c r="AV10" i="2" s="1"/>
  <c r="AU12" i="2"/>
  <c r="AU8" i="2" s="1"/>
  <c r="AU9" i="2" s="1"/>
  <c r="AU10" i="2" s="1"/>
  <c r="AT12" i="2"/>
  <c r="AT8" i="2" s="1"/>
  <c r="AT9" i="2" s="1"/>
  <c r="AT10" i="2" s="1"/>
  <c r="AS12" i="2"/>
  <c r="AS8" i="2" s="1"/>
  <c r="AS9" i="2" s="1"/>
  <c r="AS10" i="2" s="1"/>
  <c r="AR12" i="2"/>
  <c r="AR8" i="2" s="1"/>
  <c r="AR9" i="2" s="1"/>
  <c r="AR10" i="2" s="1"/>
  <c r="AQ12" i="2"/>
  <c r="AQ8" i="2" s="1"/>
  <c r="AQ9" i="2" s="1"/>
  <c r="AQ10" i="2" s="1"/>
  <c r="AP12" i="2"/>
  <c r="AP8" i="2" s="1"/>
  <c r="AP9" i="2" s="1"/>
  <c r="AP10" i="2" s="1"/>
  <c r="AO12" i="2"/>
  <c r="AO8" i="2" s="1"/>
  <c r="AO9" i="2" s="1"/>
  <c r="AO10" i="2" s="1"/>
  <c r="AN12" i="2"/>
  <c r="AN8" i="2" s="1"/>
  <c r="AN9" i="2" s="1"/>
  <c r="AN10" i="2" s="1"/>
  <c r="AN15" i="2"/>
  <c r="AO15" i="2" s="1"/>
  <c r="AM14" i="2"/>
  <c r="AM4" i="2" s="1"/>
  <c r="AM12" i="2"/>
  <c r="AM11" i="2" s="1"/>
  <c r="AH119" i="2" l="1"/>
  <c r="AH118" i="2"/>
  <c r="AH120" i="2"/>
  <c r="AH121" i="2"/>
  <c r="AI84" i="2"/>
  <c r="AH87" i="2"/>
  <c r="AH89" i="2"/>
  <c r="AH88" i="2"/>
  <c r="AH86" i="2"/>
  <c r="AB52" i="2"/>
  <c r="AA51" i="2"/>
  <c r="AT52" i="2"/>
  <c r="AS51" i="2"/>
  <c r="AT70" i="2"/>
  <c r="AS69" i="2"/>
  <c r="AU33" i="2"/>
  <c r="AT32" i="2"/>
  <c r="AB70" i="2"/>
  <c r="AA69" i="2"/>
  <c r="AB33" i="2"/>
  <c r="AA32" i="2"/>
  <c r="AJ22" i="8"/>
  <c r="AD22" i="8" s="1"/>
  <c r="AW2" i="8"/>
  <c r="AV6" i="8"/>
  <c r="AV7" i="8"/>
  <c r="AV4" i="8"/>
  <c r="AV18" i="8"/>
  <c r="AV5" i="8"/>
  <c r="AV14" i="8"/>
  <c r="AU2" i="6"/>
  <c r="AT18" i="6"/>
  <c r="AT21" i="6"/>
  <c r="AT13" i="6"/>
  <c r="AT10" i="6"/>
  <c r="AT11" i="6"/>
  <c r="AT17" i="6"/>
  <c r="AY9" i="7"/>
  <c r="AN14" i="2"/>
  <c r="AN4" i="2" s="1"/>
  <c r="AP15" i="2"/>
  <c r="AO14" i="2"/>
  <c r="AO4" i="2" s="1"/>
  <c r="Y15" i="2"/>
  <c r="Y14" i="2" s="1"/>
  <c r="X4" i="2"/>
  <c r="AR11" i="2"/>
  <c r="AS11" i="2"/>
  <c r="AU11" i="2"/>
  <c r="AV11" i="2"/>
  <c r="AW11" i="2"/>
  <c r="AX11" i="2"/>
  <c r="AY8" i="2"/>
  <c r="AY9" i="2" s="1"/>
  <c r="AY10" i="2" s="1"/>
  <c r="AT11" i="2"/>
  <c r="AM8" i="2"/>
  <c r="AM9" i="2" s="1"/>
  <c r="AM10" i="2" s="1"/>
  <c r="AN11" i="2"/>
  <c r="AO11" i="2"/>
  <c r="AQ11" i="2"/>
  <c r="AP11" i="2"/>
  <c r="AI120" i="2" l="1"/>
  <c r="AI121" i="2"/>
  <c r="AI118" i="2"/>
  <c r="AI119" i="2"/>
  <c r="AJ84" i="2"/>
  <c r="AI89" i="2"/>
  <c r="AI87" i="2"/>
  <c r="AI88" i="2"/>
  <c r="AI86" i="2"/>
  <c r="AV33" i="2"/>
  <c r="AU32" i="2"/>
  <c r="AU52" i="2"/>
  <c r="AT51" i="2"/>
  <c r="AC33" i="2"/>
  <c r="AB32" i="2"/>
  <c r="AC70" i="2"/>
  <c r="AB69" i="2"/>
  <c r="AU70" i="2"/>
  <c r="AT69" i="2"/>
  <c r="AC52" i="2"/>
  <c r="AB51" i="2"/>
  <c r="AJ18" i="8"/>
  <c r="AD18" i="8" s="1"/>
  <c r="AY16" i="8"/>
  <c r="AJ7" i="8"/>
  <c r="AD7" i="8" s="1"/>
  <c r="AJ5" i="8"/>
  <c r="AD5" i="8" s="1"/>
  <c r="AJ6" i="8"/>
  <c r="AD6" i="8" s="1"/>
  <c r="AY4" i="8"/>
  <c r="AJ4" i="8"/>
  <c r="AD4" i="8" s="1"/>
  <c r="CL7" i="2" s="1"/>
  <c r="AJ14" i="8"/>
  <c r="AD14" i="8" s="1"/>
  <c r="AY13" i="8"/>
  <c r="AV2" i="6"/>
  <c r="AU4" i="6"/>
  <c r="AU16" i="6"/>
  <c r="AU9" i="6"/>
  <c r="AU22" i="6"/>
  <c r="AU5" i="6"/>
  <c r="AU14" i="6"/>
  <c r="AU12" i="6"/>
  <c r="AU10" i="6"/>
  <c r="AY10" i="7"/>
  <c r="Z15" i="2"/>
  <c r="Z14" i="2" s="1"/>
  <c r="Y4" i="2"/>
  <c r="AQ15" i="2"/>
  <c r="AP14" i="2"/>
  <c r="AP4" i="2" s="1"/>
  <c r="AJ120" i="2" l="1"/>
  <c r="AJ121" i="2"/>
  <c r="AJ118" i="2"/>
  <c r="AJ119" i="2"/>
  <c r="AK84" i="2"/>
  <c r="AJ89" i="2"/>
  <c r="AJ88" i="2"/>
  <c r="AJ87" i="2"/>
  <c r="AJ86" i="2"/>
  <c r="AD52" i="2"/>
  <c r="AC51" i="2"/>
  <c r="AD70" i="2"/>
  <c r="AC69" i="2"/>
  <c r="AC66" i="2" s="1"/>
  <c r="AV70" i="2"/>
  <c r="AU69" i="2"/>
  <c r="AU66" i="2" s="1"/>
  <c r="AD33" i="2"/>
  <c r="AC32" i="2"/>
  <c r="AV52" i="2"/>
  <c r="AU51" i="2"/>
  <c r="AW33" i="2"/>
  <c r="AV32" i="2"/>
  <c r="AJ22" i="6"/>
  <c r="AD22" i="6" s="1"/>
  <c r="AY17" i="8"/>
  <c r="AJ9" i="6"/>
  <c r="AD9" i="6" s="1"/>
  <c r="AY14" i="8"/>
  <c r="AJ16" i="6"/>
  <c r="AD16" i="6" s="1"/>
  <c r="AJ4" i="6"/>
  <c r="AD4" i="6" s="1"/>
  <c r="BB7" i="2" s="1"/>
  <c r="AY4" i="6"/>
  <c r="AW2" i="6"/>
  <c r="AV7" i="6"/>
  <c r="AV6" i="6"/>
  <c r="AV8" i="6"/>
  <c r="AV19" i="6"/>
  <c r="AV15" i="6"/>
  <c r="AV20" i="6"/>
  <c r="AV23" i="6"/>
  <c r="AJ12" i="6"/>
  <c r="AD12" i="6" s="1"/>
  <c r="AJ14" i="6"/>
  <c r="AD14" i="6" s="1"/>
  <c r="AY5" i="8"/>
  <c r="AJ5" i="6"/>
  <c r="AD5" i="6" s="1"/>
  <c r="AY6" i="8"/>
  <c r="AY11" i="7"/>
  <c r="AR15" i="2"/>
  <c r="AQ14" i="2"/>
  <c r="AQ4" i="2" s="1"/>
  <c r="AA15" i="2"/>
  <c r="AA14" i="2" s="1"/>
  <c r="Z4" i="2"/>
  <c r="AP68" i="2"/>
  <c r="AQ68" i="2" s="1"/>
  <c r="AR68" i="2" s="1"/>
  <c r="AS68" i="2" s="1"/>
  <c r="AT68" i="2" s="1"/>
  <c r="AU68" i="2" s="1"/>
  <c r="AV68" i="2" s="1"/>
  <c r="AW68" i="2" s="1"/>
  <c r="AX68" i="2" s="1"/>
  <c r="AY68" i="2" s="1"/>
  <c r="AP67" i="2"/>
  <c r="AQ67" i="2" s="1"/>
  <c r="AR67" i="2" s="1"/>
  <c r="AS67" i="2" s="1"/>
  <c r="AT67" i="2" s="1"/>
  <c r="AU67" i="2" s="1"/>
  <c r="AV67" i="2" s="1"/>
  <c r="AW67" i="2" s="1"/>
  <c r="AX67" i="2" s="1"/>
  <c r="AY67" i="2" s="1"/>
  <c r="X68" i="2"/>
  <c r="Y68" i="2" s="1"/>
  <c r="Z68" i="2" s="1"/>
  <c r="AA68" i="2" s="1"/>
  <c r="AB68" i="2" s="1"/>
  <c r="AC68" i="2" s="1"/>
  <c r="AD68" i="2" s="1"/>
  <c r="AE68" i="2" s="1"/>
  <c r="AF68" i="2" s="1"/>
  <c r="AG68" i="2" s="1"/>
  <c r="X67" i="2"/>
  <c r="Y67" i="2" s="1"/>
  <c r="Z67" i="2" s="1"/>
  <c r="AA67" i="2" s="1"/>
  <c r="AB67" i="2" s="1"/>
  <c r="AC67" i="2" s="1"/>
  <c r="AD67" i="2" s="1"/>
  <c r="AE67" i="2" s="1"/>
  <c r="AF67" i="2" s="1"/>
  <c r="AG67" i="2" s="1"/>
  <c r="AT66" i="2"/>
  <c r="AS66" i="2"/>
  <c r="AR66" i="2"/>
  <c r="AQ66" i="2"/>
  <c r="AP66" i="2"/>
  <c r="AB66" i="2"/>
  <c r="AA66" i="2"/>
  <c r="Z66" i="2"/>
  <c r="Y66" i="2"/>
  <c r="X66" i="2"/>
  <c r="AK120" i="2" l="1"/>
  <c r="AK121" i="2"/>
  <c r="AK118" i="2"/>
  <c r="AK119" i="2"/>
  <c r="AL84" i="2"/>
  <c r="AK87" i="2"/>
  <c r="AK88" i="2"/>
  <c r="AK86" i="2"/>
  <c r="AK89" i="2"/>
  <c r="AW52" i="2"/>
  <c r="AV51" i="2"/>
  <c r="AV48" i="2" s="1"/>
  <c r="AX33" i="2"/>
  <c r="AW32" i="2"/>
  <c r="AW29" i="2" s="1"/>
  <c r="AE33" i="2"/>
  <c r="AD32" i="2"/>
  <c r="AD29" i="2" s="1"/>
  <c r="AW70" i="2"/>
  <c r="AV69" i="2"/>
  <c r="AV66" i="2" s="1"/>
  <c r="AE70" i="2"/>
  <c r="AD69" i="2"/>
  <c r="AD66" i="2" s="1"/>
  <c r="AE52" i="2"/>
  <c r="AD51" i="2"/>
  <c r="AD48" i="2" s="1"/>
  <c r="AJ23" i="6"/>
  <c r="AD23" i="6" s="1"/>
  <c r="AY7" i="8"/>
  <c r="AJ15" i="6"/>
  <c r="AD15" i="6" s="1"/>
  <c r="AJ19" i="6"/>
  <c r="AD19" i="6" s="1"/>
  <c r="AY15" i="8"/>
  <c r="AJ8" i="6"/>
  <c r="AD8" i="6" s="1"/>
  <c r="AJ6" i="6"/>
  <c r="AD6" i="6" s="1"/>
  <c r="AJ7" i="6"/>
  <c r="AD7" i="6" s="1"/>
  <c r="AW13" i="6"/>
  <c r="AW18" i="6"/>
  <c r="AW21" i="6"/>
  <c r="AW11" i="6"/>
  <c r="AW17" i="6"/>
  <c r="AW10" i="6"/>
  <c r="AY18" i="8"/>
  <c r="AY20" i="6"/>
  <c r="AJ20" i="6"/>
  <c r="AD20" i="6" s="1"/>
  <c r="AY5" i="6"/>
  <c r="AY12" i="7"/>
  <c r="AB15" i="2"/>
  <c r="AB14" i="2" s="1"/>
  <c r="AA4" i="2"/>
  <c r="AS15" i="2"/>
  <c r="AR14" i="2"/>
  <c r="AR4" i="2" s="1"/>
  <c r="BZ12" i="2"/>
  <c r="CA12" i="2" s="1"/>
  <c r="CB12" i="2" s="1"/>
  <c r="CC12" i="2" s="1"/>
  <c r="CD12" i="2" s="1"/>
  <c r="CE12" i="2" s="1"/>
  <c r="CF12" i="2" s="1"/>
  <c r="CG12" i="2" s="1"/>
  <c r="CH12" i="2" s="1"/>
  <c r="CI12" i="2" s="1"/>
  <c r="CJ12" i="2" s="1"/>
  <c r="CK12" i="2" s="1"/>
  <c r="CL12" i="2" s="1"/>
  <c r="BH12" i="2"/>
  <c r="BI12" i="2" s="1"/>
  <c r="BJ12" i="2" s="1"/>
  <c r="BK12" i="2" s="1"/>
  <c r="BL12" i="2" s="1"/>
  <c r="BM12" i="2" s="1"/>
  <c r="BN12" i="2" s="1"/>
  <c r="BO12" i="2" s="1"/>
  <c r="BP12" i="2" s="1"/>
  <c r="BQ12" i="2" s="1"/>
  <c r="BR12" i="2" s="1"/>
  <c r="BS12" i="2" s="1"/>
  <c r="BT12" i="2" s="1"/>
  <c r="AU48" i="2"/>
  <c r="AT48" i="2"/>
  <c r="AS48" i="2"/>
  <c r="AR48" i="2"/>
  <c r="AQ48" i="2"/>
  <c r="AP48" i="2"/>
  <c r="AP49" i="2"/>
  <c r="AQ49" i="2" s="1"/>
  <c r="AR49" i="2" s="1"/>
  <c r="AS49" i="2" s="1"/>
  <c r="AT49" i="2" s="1"/>
  <c r="AU49" i="2" s="1"/>
  <c r="AV49" i="2" s="1"/>
  <c r="AW49" i="2" s="1"/>
  <c r="AX49" i="2" s="1"/>
  <c r="AY49" i="2" s="1"/>
  <c r="AC48" i="2"/>
  <c r="AB48" i="2"/>
  <c r="AA48" i="2"/>
  <c r="Z48" i="2"/>
  <c r="Y48" i="2"/>
  <c r="X48" i="2"/>
  <c r="X49" i="2"/>
  <c r="Y49" i="2" s="1"/>
  <c r="Z49" i="2" s="1"/>
  <c r="AA49" i="2" s="1"/>
  <c r="AB49" i="2" s="1"/>
  <c r="AC49" i="2" s="1"/>
  <c r="AD49" i="2" s="1"/>
  <c r="AE49" i="2" s="1"/>
  <c r="AF49" i="2" s="1"/>
  <c r="AG49" i="2" s="1"/>
  <c r="AV29" i="2"/>
  <c r="AU29" i="2"/>
  <c r="AT29" i="2"/>
  <c r="AS29" i="2"/>
  <c r="AR29" i="2"/>
  <c r="AQ29" i="2"/>
  <c r="AP29" i="2"/>
  <c r="AP30" i="2"/>
  <c r="AQ30" i="2" s="1"/>
  <c r="AR30" i="2" s="1"/>
  <c r="AS30" i="2" s="1"/>
  <c r="AT30" i="2" s="1"/>
  <c r="AU30" i="2" s="1"/>
  <c r="AV30" i="2" s="1"/>
  <c r="AW30" i="2" s="1"/>
  <c r="AX30" i="2" s="1"/>
  <c r="AY30" i="2" s="1"/>
  <c r="AC29" i="2"/>
  <c r="AB29" i="2"/>
  <c r="AA29" i="2"/>
  <c r="Z29" i="2"/>
  <c r="Y29" i="2"/>
  <c r="X30" i="2"/>
  <c r="Y30" i="2" s="1"/>
  <c r="Z30" i="2" s="1"/>
  <c r="AA30" i="2" s="1"/>
  <c r="AB30" i="2" s="1"/>
  <c r="AC30" i="2" s="1"/>
  <c r="AD30" i="2" s="1"/>
  <c r="AE30" i="2" s="1"/>
  <c r="AF30" i="2" s="1"/>
  <c r="AG30" i="2" s="1"/>
  <c r="AL120" i="2" l="1"/>
  <c r="AL119" i="2"/>
  <c r="AL121" i="2"/>
  <c r="AL118" i="2"/>
  <c r="AM84" i="2"/>
  <c r="AL87" i="2"/>
  <c r="AL88" i="2"/>
  <c r="AL86" i="2"/>
  <c r="AL89" i="2"/>
  <c r="AF52" i="2"/>
  <c r="AE51" i="2"/>
  <c r="AE48" i="2" s="1"/>
  <c r="AF70" i="2"/>
  <c r="AE69" i="2"/>
  <c r="AE66" i="2" s="1"/>
  <c r="AX70" i="2"/>
  <c r="AW69" i="2"/>
  <c r="AW66" i="2" s="1"/>
  <c r="AF33" i="2"/>
  <c r="AE32" i="2"/>
  <c r="AE29" i="2" s="1"/>
  <c r="AY33" i="2"/>
  <c r="AY32" i="2" s="1"/>
  <c r="AY29" i="2" s="1"/>
  <c r="AX32" i="2"/>
  <c r="AX29" i="2" s="1"/>
  <c r="AX52" i="2"/>
  <c r="AW51" i="2"/>
  <c r="AW48" i="2" s="1"/>
  <c r="AJ11" i="6"/>
  <c r="AD11" i="6" s="1"/>
  <c r="AY13" i="6"/>
  <c r="AJ13" i="6"/>
  <c r="AD13" i="6" s="1"/>
  <c r="AJ17" i="6"/>
  <c r="AY16" i="6"/>
  <c r="AY23" i="6"/>
  <c r="AY8" i="8"/>
  <c r="AJ21" i="6"/>
  <c r="AD21" i="6" s="1"/>
  <c r="AJ18" i="6"/>
  <c r="AD18" i="6" s="1"/>
  <c r="AY19" i="8"/>
  <c r="AJ10" i="6"/>
  <c r="AD10" i="6" s="1"/>
  <c r="AT15" i="2"/>
  <c r="AS14" i="2"/>
  <c r="AS4" i="2" s="1"/>
  <c r="AC15" i="2"/>
  <c r="AC14" i="2" s="1"/>
  <c r="AB4" i="2"/>
  <c r="AM121" i="2" l="1"/>
  <c r="AM118" i="2"/>
  <c r="AM119" i="2"/>
  <c r="AM120" i="2"/>
  <c r="AN84" i="2"/>
  <c r="AM86" i="2"/>
  <c r="AM88" i="2"/>
  <c r="AM89" i="2"/>
  <c r="AM87" i="2"/>
  <c r="AG33" i="2"/>
  <c r="AG32" i="2" s="1"/>
  <c r="AG29" i="2" s="1"/>
  <c r="AF32" i="2"/>
  <c r="AF29" i="2" s="1"/>
  <c r="AY70" i="2"/>
  <c r="AY69" i="2" s="1"/>
  <c r="AY66" i="2" s="1"/>
  <c r="AX69" i="2"/>
  <c r="AX66" i="2" s="1"/>
  <c r="AG70" i="2"/>
  <c r="AG69" i="2" s="1"/>
  <c r="AG66" i="2" s="1"/>
  <c r="AF69" i="2"/>
  <c r="AF66" i="2" s="1"/>
  <c r="AY52" i="2"/>
  <c r="AY51" i="2" s="1"/>
  <c r="AY48" i="2" s="1"/>
  <c r="AX51" i="2"/>
  <c r="AX48" i="2" s="1"/>
  <c r="AG52" i="2"/>
  <c r="AG51" i="2" s="1"/>
  <c r="AG48" i="2" s="1"/>
  <c r="AF51" i="2"/>
  <c r="AF48" i="2" s="1"/>
  <c r="AY21" i="8"/>
  <c r="AY17" i="6"/>
  <c r="AY6" i="6"/>
  <c r="AY14" i="6"/>
  <c r="AY9" i="8"/>
  <c r="AD15" i="2"/>
  <c r="AD14" i="2" s="1"/>
  <c r="AC4" i="2"/>
  <c r="AU15" i="2"/>
  <c r="AT14" i="2"/>
  <c r="AT4" i="2" s="1"/>
  <c r="BZ11" i="2"/>
  <c r="CA11" i="2" s="1"/>
  <c r="CB11" i="2" s="1"/>
  <c r="CC11" i="2" s="1"/>
  <c r="CD11" i="2" s="1"/>
  <c r="CE11" i="2" s="1"/>
  <c r="CF11" i="2" s="1"/>
  <c r="CG11" i="2" s="1"/>
  <c r="CH11" i="2" s="1"/>
  <c r="CI11" i="2" s="1"/>
  <c r="CJ11" i="2" s="1"/>
  <c r="CK11" i="2" s="1"/>
  <c r="CL11" i="2" s="1"/>
  <c r="BH11" i="2"/>
  <c r="BI11" i="2" s="1"/>
  <c r="BJ11" i="2" s="1"/>
  <c r="BK11" i="2" s="1"/>
  <c r="BL11" i="2" s="1"/>
  <c r="BM11" i="2" s="1"/>
  <c r="BN11" i="2" s="1"/>
  <c r="BO11" i="2" s="1"/>
  <c r="BP11" i="2" s="1"/>
  <c r="BQ11" i="2" s="1"/>
  <c r="BR11" i="2" s="1"/>
  <c r="BS11" i="2" s="1"/>
  <c r="BT11" i="2" s="1"/>
  <c r="CI14" i="2"/>
  <c r="CI4" i="2" s="1"/>
  <c r="CH14" i="2"/>
  <c r="CH4" i="2" s="1"/>
  <c r="CG14" i="2"/>
  <c r="CG4" i="2" s="1"/>
  <c r="CF14" i="2"/>
  <c r="CF4" i="2" s="1"/>
  <c r="CE14" i="2"/>
  <c r="CE4" i="2" s="1"/>
  <c r="CD14" i="2"/>
  <c r="CD4" i="2" s="1"/>
  <c r="CC14" i="2"/>
  <c r="CC4" i="2" s="1"/>
  <c r="CB14" i="2"/>
  <c r="CB4" i="2" s="1"/>
  <c r="CA14" i="2"/>
  <c r="CA4" i="2" s="1"/>
  <c r="BZ14" i="2"/>
  <c r="BZ4" i="2" s="1"/>
  <c r="BQ14" i="2"/>
  <c r="BQ4" i="2" s="1"/>
  <c r="BP14" i="2"/>
  <c r="BP4" i="2" s="1"/>
  <c r="BO14" i="2"/>
  <c r="BO4" i="2" s="1"/>
  <c r="BN14" i="2"/>
  <c r="BN4" i="2" s="1"/>
  <c r="BM14" i="2"/>
  <c r="BM4" i="2" s="1"/>
  <c r="BL14" i="2"/>
  <c r="BL4" i="2" s="1"/>
  <c r="BK14" i="2"/>
  <c r="BK4" i="2" s="1"/>
  <c r="BJ14" i="2"/>
  <c r="BJ4" i="2" s="1"/>
  <c r="BI14" i="2"/>
  <c r="BI4" i="2" s="1"/>
  <c r="BH14" i="2"/>
  <c r="BH4" i="2" s="1"/>
  <c r="AN120" i="2" l="1"/>
  <c r="AN121" i="2"/>
  <c r="AN118" i="2"/>
  <c r="AN119" i="2"/>
  <c r="AN86" i="2"/>
  <c r="AN88" i="2"/>
  <c r="AN89" i="2"/>
  <c r="AN87" i="2"/>
  <c r="AY10" i="8"/>
  <c r="AY18" i="6"/>
  <c r="AY15" i="6"/>
  <c r="AY7" i="6"/>
  <c r="AY22" i="8"/>
  <c r="AV15" i="2"/>
  <c r="AU14" i="2"/>
  <c r="AU4" i="2" s="1"/>
  <c r="AE15" i="2"/>
  <c r="AE14" i="2" s="1"/>
  <c r="AD4" i="2"/>
  <c r="BZ8" i="2"/>
  <c r="BH8" i="2"/>
  <c r="AY8" i="6" l="1"/>
  <c r="AY19" i="6"/>
  <c r="AY11" i="8"/>
  <c r="AF15" i="2"/>
  <c r="AF14" i="2" s="1"/>
  <c r="AE4" i="2"/>
  <c r="AW15" i="2"/>
  <c r="AV14" i="2"/>
  <c r="AV4" i="2" s="1"/>
  <c r="BZ9" i="2"/>
  <c r="CA8" i="2"/>
  <c r="CB8" i="2" s="1"/>
  <c r="CC8" i="2" s="1"/>
  <c r="CD8" i="2" s="1"/>
  <c r="CE8" i="2" s="1"/>
  <c r="CF8" i="2" s="1"/>
  <c r="CG8" i="2" s="1"/>
  <c r="CH8" i="2" s="1"/>
  <c r="CI8" i="2" s="1"/>
  <c r="CJ8" i="2" s="1"/>
  <c r="CK8" i="2" s="1"/>
  <c r="CL8" i="2" s="1"/>
  <c r="BH9" i="2"/>
  <c r="BI8" i="2"/>
  <c r="BJ8" i="2" s="1"/>
  <c r="BK8" i="2" s="1"/>
  <c r="BL8" i="2" s="1"/>
  <c r="BM8" i="2" s="1"/>
  <c r="BN8" i="2" s="1"/>
  <c r="BO8" i="2" s="1"/>
  <c r="BP8" i="2" s="1"/>
  <c r="BQ8" i="2" s="1"/>
  <c r="BR8" i="2" s="1"/>
  <c r="BS8" i="2" s="1"/>
  <c r="BT8" i="2" s="1"/>
  <c r="AY12" i="8" l="1"/>
  <c r="AY21" i="6"/>
  <c r="AY9" i="6"/>
  <c r="AX15" i="2"/>
  <c r="AW14" i="2"/>
  <c r="AW4" i="2" s="1"/>
  <c r="AG15" i="2"/>
  <c r="AF4" i="2"/>
  <c r="BZ10" i="2"/>
  <c r="CA10" i="2" s="1"/>
  <c r="CB10" i="2" s="1"/>
  <c r="CC10" i="2" s="1"/>
  <c r="CD10" i="2" s="1"/>
  <c r="CE10" i="2" s="1"/>
  <c r="CF10" i="2" s="1"/>
  <c r="CG10" i="2" s="1"/>
  <c r="CH10" i="2" s="1"/>
  <c r="CI10" i="2" s="1"/>
  <c r="CJ10" i="2" s="1"/>
  <c r="CK10" i="2" s="1"/>
  <c r="CL10" i="2" s="1"/>
  <c r="CA9" i="2"/>
  <c r="CB9" i="2" s="1"/>
  <c r="CC9" i="2" s="1"/>
  <c r="CD9" i="2" s="1"/>
  <c r="CE9" i="2" s="1"/>
  <c r="CF9" i="2" s="1"/>
  <c r="CG9" i="2" s="1"/>
  <c r="CH9" i="2" s="1"/>
  <c r="CI9" i="2" s="1"/>
  <c r="CJ9" i="2" s="1"/>
  <c r="CK9" i="2" s="1"/>
  <c r="CL9" i="2" s="1"/>
  <c r="BH10" i="2"/>
  <c r="BI10" i="2" s="1"/>
  <c r="BJ10" i="2" s="1"/>
  <c r="BK10" i="2" s="1"/>
  <c r="BL10" i="2" s="1"/>
  <c r="BM10" i="2" s="1"/>
  <c r="BN10" i="2" s="1"/>
  <c r="BO10" i="2" s="1"/>
  <c r="BP10" i="2" s="1"/>
  <c r="BQ10" i="2" s="1"/>
  <c r="BR10" i="2" s="1"/>
  <c r="BS10" i="2" s="1"/>
  <c r="BT10" i="2" s="1"/>
  <c r="BI9" i="2"/>
  <c r="BJ9" i="2" s="1"/>
  <c r="BK9" i="2" s="1"/>
  <c r="BL9" i="2" s="1"/>
  <c r="BM9" i="2" s="1"/>
  <c r="BN9" i="2" s="1"/>
  <c r="BO9" i="2" s="1"/>
  <c r="BP9" i="2" s="1"/>
  <c r="BQ9" i="2" s="1"/>
  <c r="BR9" i="2" s="1"/>
  <c r="BS9" i="2" s="1"/>
  <c r="BT9" i="2" s="1"/>
  <c r="AG14" i="2" l="1"/>
  <c r="AG4" i="2" s="1"/>
  <c r="AY10" i="6"/>
  <c r="AY22" i="6"/>
  <c r="AY15" i="2"/>
  <c r="AY14" i="2" s="1"/>
  <c r="AY4" i="2" s="1"/>
  <c r="AX14" i="2"/>
  <c r="AX4" i="2" s="1"/>
  <c r="X29" i="2"/>
  <c r="AY11" i="6" l="1"/>
  <c r="AY1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Schipper, Peter</author>
  </authors>
  <commentList>
    <comment ref="P102" authorId="0" shapeId="0" xr:uid="{C22343E9-B5A4-4B26-8269-E78459CDE17F}">
      <text>
        <r>
          <rPr>
            <sz val="9"/>
            <color indexed="81"/>
            <rFont val="Tahoma"/>
            <family val="2"/>
          </rPr>
          <t xml:space="preserve">OR is 'overige', vooral dus niet verwarren met Overstorten, want dat is OV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futureMetadata>
  <valueMetadata count="4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valueMetadata>
</metadata>
</file>

<file path=xl/sharedStrings.xml><?xml version="1.0" encoding="utf-8"?>
<sst xmlns="http://schemas.openxmlformats.org/spreadsheetml/2006/main" count="2003" uniqueCount="754">
  <si>
    <t>Dit bestand hoort bij het rapport "Actualisatie Ecologische Doelen. Technische aanpassingen GEP voor het vierde SGBP" (Torenbeek, 2025, in opdracht van Waterschap Zuiderzeeland, in samenwerking met Provincie Flevoland).</t>
  </si>
  <si>
    <t xml:space="preserve">Het bestand bevat monitoringsresultaten en berekeningen die horen bij de voorstellen voor de technische doelaanpassing  voor GEP4. </t>
  </si>
  <si>
    <t>Versie</t>
  </si>
  <si>
    <t>Toelichting per tabblad</t>
  </si>
  <si>
    <t>Tabblad</t>
  </si>
  <si>
    <t>Toelichting</t>
  </si>
  <si>
    <t>Sheet</t>
  </si>
  <si>
    <t>Hierin staan alle gegevens en berekeningen per waterlichaam weergegeven. Via de menubalken aan de rechterkant kan een waterlichaam geselecteerd worden. De grijze tekst en getallen die daar rechts van staan, zijn ter ondersteuning van het maken van de grafieken. Deze waarden kunnen genegeerd worden.</t>
  </si>
  <si>
    <t>De bovenste grafiek geeft per biologische groep de volgende gegevens:</t>
  </si>
  <si>
    <t>X-as</t>
  </si>
  <si>
    <t>Jaren, periode 2012-2024. Na de stippellijn staan rechts verwachtingen voor respectievelijk 2027 en 2033.</t>
  </si>
  <si>
    <t>Y-as</t>
  </si>
  <si>
    <t>Ecologische Kwaliteitsratio (EKR): een waarde die loopt van 0,0 (slecht) tot 1,0 (goed).</t>
  </si>
  <si>
    <t>Achtergrondkleuren</t>
  </si>
  <si>
    <t>Dit zijn de klassegrenzen, gebaseerd op de doelen uit het derde SGBP. 
- Groen: goed ecologisch potentieel (GEP; doelstelling)
- Geel: matig ecologisch potentieel
- Oranje: ontoereikend ecologisch potentieel
- Rood: slecht ecologisch potentieel.</t>
  </si>
  <si>
    <t>Blauwe bollen</t>
  </si>
  <si>
    <t>Monitoringsresultaten. Dit is de EKR-score per meetjaar.</t>
  </si>
  <si>
    <t>Witte bollen</t>
  </si>
  <si>
    <t>(Te verwachten) toestand. Weergegeven zijn:
- Toestand 2019. Dit is het gemiddelde van de meetresultaten uit de periode 2013-2018. De toestand 2019 vormt het uitgangspunt voor de doelafleiding / technische doelaanpassing. De waarden zijn (indien van toepassing) gebaseerd op de (voorgestelde) wijzigingen in begrenzing van waterlichamen voor het vierde SGBP.
- Toestand 2025. Dit is het gemiddelde over de metingen uit de periode 2019-2024; in enkele gevallen aangevuld met metingen uit 2025 (deze gegevens zijn nog niet volledig beschikbaar). Dit is de "huidige" toestand.
- Na de stippellijn staat de te verwachten toestand in 2033 (einde planperiode vierde SGBP), gebaseerd op de eigen redeneerlijn. dit is nog zonder rekening te houden met een onzekerheidsmarge en zonder 'aftopping' van het GEP op 0,60 EKR.</t>
  </si>
  <si>
    <t>Rode ruit</t>
  </si>
  <si>
    <t>Gegevens KRW-verkenner. Het uitgangspunt van de berekeningen is de toestand 2023. Dit is de linker ruit. De berekening geeft de te verwachten toestand in 2027. Dit is de ruit ná de stippellijn. Weergegevens is het resultaat van de variant die het beste de werkelijkheid benadert. Welke variant dat is, is rechts van de grafieken weergegeven.</t>
  </si>
  <si>
    <t>Rood streepje</t>
  </si>
  <si>
    <t xml:space="preserve">Dit is het voorstel voor het GEP4. </t>
  </si>
  <si>
    <t>Grafieken algemeen fysisch-chemische parameters</t>
  </si>
  <si>
    <t>Hierin staan de monitoringsresultaten uit de periode 2012-2024. Anders dan bij de grafieken met biologische gegevens zijn hier de (eventueel gewijzigde) normen van het SGBP4 weergegeven (rode stippellijn). Deze gewijzigde normen zijn mede uitganspunt geweest voor de technische doelaanpassing van de biologische normen. Voor het watertype waartoe de 10 waterlichamen 'Tochten' behoren (M1a/b; zoete en niet-zoete sloten) is doorzicht geen verplichte parameter. In de grafieken zijn daarom geen monitoringresultaten opgenomen.</t>
  </si>
  <si>
    <t>Grafieken bronnenstudie WEnR</t>
  </si>
  <si>
    <t>Dit zijn de resultaten van de analyses van de bronnen van stikstof en fosfor, in opdracht van het waterschap uitgevoerd door WEnR. Er zijn twee periodes onderzocht: 2010-2016 en 2017-2022. De periode kan rechts van de grafieken via een menubalkje gekozen.Voor beide perioden zijn zowel zomer- als jaargemiddelden berekend. Deze studie is alleen voor de tochten en de vaarten uitgevoerd, niet voor de meren en plassen.</t>
  </si>
  <si>
    <t>Ecologische sleutelfactoren</t>
  </si>
  <si>
    <t>Dit zijn de resultaten en verwachtingen van de beoordeling van de Ecologische Sleutelfactoren, respectievelijk voor de situatie in 2018, 2027 en 2033.</t>
  </si>
  <si>
    <t>Samenvatting</t>
  </si>
  <si>
    <t xml:space="preserve">Hierin staan de (voorstellen) voor de technisch aangepaste biologische doelen voor het vierde SGBP. Ook is een vergelijking van de te verwachten toestand in 2033 volgens de eigen methode met de verwachting volgens de KRW-verkenner opgenomen. </t>
  </si>
  <si>
    <t>WLs</t>
  </si>
  <si>
    <t>Overzicht van de waterlichamen, met type, status, doelen (voor biologie: GEP3; voor chemie GEP4).</t>
  </si>
  <si>
    <t>Fytoplankton,
Vegetatie,
Macrofauna,
Vis</t>
  </si>
  <si>
    <t>Voor elke biologische groep:</t>
  </si>
  <si>
    <t>Kolommen C t/m O</t>
  </si>
  <si>
    <t>Deze kolommen zijn verborgen. Ze bevatten de meetresultaten uit de periode 2012-2024.</t>
  </si>
  <si>
    <t>1. Afleiding GEP3</t>
  </si>
  <si>
    <t>Gegevens, gebruikt bij de doelafleiding voor het derde SGBP. Achtereenvolgens:
- De toestand in 2019 (gegevens 2013-2018), zoals die toen is vastgesteld. Dit is dus met de oude indeling van waterlichamen, en gebruik van de toenmalige versies van de Aquo-kit en QBWat.
- KRW-maatregelen voor het derde SGBP, met (indien dit achterhaald kon worden) het te verwachten effect, uitgedrukt in EKR-waardes.
- Afronding. Bij de doelafleiding voor het derde SGBP zijn alle GEP's op 0,05 EKR afgerond. Indien dit achterhaald kon worden, is aangegeven welke afronding is toegepast. Meestal is dit naar beneden; een enkele keer is er niet of naar boven afgerond.
- Het vastgestelde GEP3.</t>
  </si>
  <si>
    <t>2. Verwachting 2033, eigen methode</t>
  </si>
  <si>
    <t>Verwachting EKR in 2033, gebaseerd op eigen methodiek. Achtereenvolgens:
- De toestand 2019 (gegevens 2013-2018); met nieuwe indeling waterlichamen, en Aquo-kit versie 2025.
- Verschil met toestand 2019 uit rapport SGBP3.
- Het effect van de maatregelen en andere ontwikkelingen in het resterende deel van het derde SGBP en in het vierde SGBP. Het effect is aangegeven als toename van de EKR. De 'andere ontwikkelingen' betreffen maatregelen of gewijzigd beheer die niet als KRW-maatregel benoemd zijn, maar wel effect op de biologische toestand hebben. Indien er wel maatregelen geformuleerd zijn, maar naar verwachting geen of een verwaarloosbaar effect op de betreffende biologische groep hebben, is aangegeven: "geen / te verwaarlozen". 
- De te verwachten toestand in 2033.</t>
  </si>
  <si>
    <t>3. KRW-verkenner</t>
  </si>
  <si>
    <t xml:space="preserve">Achtereenvolgens:
- Uitgangssituatie: toestand 2023.
- Verwachte toestand 2027, volgens landelijk uitgevoerde KRW-Tussenevaluatie, scenario 5 (Referentie: jaar 2027 gemiddeld weerjaar zonder overbemesting met vastgesteld beleid). Hierbij zijn de verwachte concentraties van nutriënten in 2027 door de KRW-verkenner berekend.
- Verwachte toestand 2027, opdracht Waterschap Zuiderzeeland. Hierbij zijn de nutriëntnormen voor het vierde SGBP aan het model opgelegd. De KRW-verkenner berekent op basis daarvan het effect op de biologische groepen.
Met een donker groene kleur is aangegeven welke versie van de KRW-verkenner het beste past bij de werkelijke situatie en dus (mede) gebruikt is voor de technische doelaanpassing. Als de nutriëntenconcentraties voldoen aan de normen past de versie van de tussenevaluatie het best; als de concentraties hoger zijn dan de normen, past de versie van de eigen opdracht van het waterschap het best.
</t>
  </si>
  <si>
    <t>4. Toestandsontwikkeling 2012-2024</t>
  </si>
  <si>
    <t>Dit is informatie gebaseerd op monitoringsresultaten. Achtereenvolgens:
- De toestand 2025; gemiddelde van de monitoringsresultaten uit de periode 2019-2024.
- Trends. Dit is de toe- of afname van de EKR per jaar. De trend is gebaseerd op de individuele metingen uit de periode 2012-2024.
- R2. Deze waarde geeft de statistische betrouwbaarheid van de trend: 1,0 = zeer betrouwbaar, 0,0 = zeer onbetrouwbaar.</t>
  </si>
  <si>
    <t>5. Voorstel GEP4</t>
  </si>
  <si>
    <t>Achtereenvolgens:
- Het voorstel voor het GEP4, uitgedrukt in EKR.
- Onderbouwing van het voorgestelde GEP4. Het GEP4 wordt bij voorkeur gebaseerd op de eigen redeneerlijn, waarbij vervolgens rekening wordt gehouden met een onzekerheidsmarge van 0,03 EKR (afronding naar beneden). In sommige gevallen wordt een andere keuze gemaakt, en wordt ook informatie van de KRW-verkenner, informatie over de huidige situatie en trends, resultaten van gesprekken met terreinbeheerders en gebiedskennis gebruikt. Het GEP4 is nooit hoger dan 0,60 EKR. Indien de verwachting wel hoger is, wordt het GEP "afgetopt" op 0,60 EKR.</t>
  </si>
  <si>
    <t>Kolommen AH-AY</t>
  </si>
  <si>
    <t>Deze kolommen zijn verborgen. Ze bevatten statische berekeningen met de meetgegevens uit de kolommen C t/m O (die ook verborgen zijn).</t>
  </si>
  <si>
    <t>Bronnen P,
Bronnen N</t>
  </si>
  <si>
    <t>Resultaten studie WEnR naar bronnen van stikstof en fosfor (eigen opdracht provincie en waterschap). Er zijn twee periodes doorgerekend: 2010-2016 en 2017-2022. De periode kan rechtsonder van de grafieken in het tabblad "Wheet" geselecteerd worden.</t>
  </si>
  <si>
    <t>P, N, Cl, DZ, O2, pH</t>
  </si>
  <si>
    <t>Monitoringsresultaten van respectievelijk totaal-fosfor, totaal-stikstof, chloride, doorzicht, zuurstofverzadiging en zuurgraad, plus enkele statistische berekeningen.</t>
  </si>
  <si>
    <t>ESF1 t/m ESF8</t>
  </si>
  <si>
    <t>Informatie Ecologische Sleutelfactoren. Achtereenvolgens:
- Analyse 2019 (bij doelafleiding SGBP3)
- Verwachting 2027 (einde planperiode SGBP3)
- Verwachting 2033 (einde planperiode SGBP4).</t>
  </si>
  <si>
    <t>Iocen ESFs</t>
  </si>
  <si>
    <t>Iconen (kleuren) van de ESF's. Nodig voor weergave in tabblad "Sheet".</t>
  </si>
  <si>
    <t>Geselecteerd:</t>
  </si>
  <si>
    <t>Fytoplankton</t>
  </si>
  <si>
    <t>Vegetatie</t>
  </si>
  <si>
    <t>Macrofauna</t>
  </si>
  <si>
    <t>Vis</t>
  </si>
  <si>
    <t>Biologische groepen</t>
  </si>
  <si>
    <t>Selecteer waterlichaam</t>
  </si>
  <si>
    <t>Meting</t>
  </si>
  <si>
    <t>(Verwachting) toestand</t>
  </si>
  <si>
    <t>KRW-Verkenner</t>
  </si>
  <si>
    <t>Voorstel GEP4</t>
  </si>
  <si>
    <t>Ontoereikend</t>
  </si>
  <si>
    <t>Matig</t>
  </si>
  <si>
    <t>Goed</t>
  </si>
  <si>
    <t>Referentie</t>
  </si>
  <si>
    <t>GEP</t>
  </si>
  <si>
    <t>kolom</t>
  </si>
  <si>
    <t>Variant KRW-verkenner:</t>
  </si>
  <si>
    <t>Algemeen fysisch-chemische parameters</t>
  </si>
  <si>
    <t>Selecteer waterlichaam:</t>
  </si>
  <si>
    <t>Fosfor</t>
  </si>
  <si>
    <t>Stikstof</t>
  </si>
  <si>
    <t>Zomer gemiddeld</t>
  </si>
  <si>
    <t>GEP4</t>
  </si>
  <si>
    <t>Trend 2033</t>
  </si>
  <si>
    <t>Voorstel GEP</t>
  </si>
  <si>
    <t>Chloride</t>
  </si>
  <si>
    <t>Doorzicht</t>
  </si>
  <si>
    <t>Zuurstofverzadiging</t>
  </si>
  <si>
    <t>Zuurgraad</t>
  </si>
  <si>
    <t>GEP4 ondergrens</t>
  </si>
  <si>
    <t>GEP4 bovengrens</t>
  </si>
  <si>
    <t>GEP boven</t>
  </si>
  <si>
    <t>Bronnen van nutriënten (variant inclusief directe kwel)</t>
  </si>
  <si>
    <t>Periode:</t>
  </si>
  <si>
    <t>Legenda</t>
  </si>
  <si>
    <t>Bemesting
actueel</t>
  </si>
  <si>
    <t>Bemesting
historisch</t>
  </si>
  <si>
    <t>Depositie</t>
  </si>
  <si>
    <t>Infiltratie</t>
  </si>
  <si>
    <t>Kwel</t>
  </si>
  <si>
    <t>Mineralisatie
en uitloging</t>
  </si>
  <si>
    <t>Natuur-
gronden</t>
  </si>
  <si>
    <t>Directe kwel</t>
  </si>
  <si>
    <t>Erfaf-
spoeling</t>
  </si>
  <si>
    <t>Glas-
tuinbouw</t>
  </si>
  <si>
    <t>Mee-
mesten</t>
  </si>
  <si>
    <t>RWZI</t>
  </si>
  <si>
    <t>Industrie</t>
  </si>
  <si>
    <t>Depositie
open water</t>
  </si>
  <si>
    <t>Overstort</t>
  </si>
  <si>
    <t>Regen
waterriolen</t>
  </si>
  <si>
    <t>Water-
vogels</t>
  </si>
  <si>
    <t>Binnen-
vaart</t>
  </si>
  <si>
    <t>Overige</t>
  </si>
  <si>
    <t>Inlaat Rijkswater</t>
  </si>
  <si>
    <t>Zomer</t>
  </si>
  <si>
    <t>Jaar</t>
  </si>
  <si>
    <t>Natuurgronden</t>
  </si>
  <si>
    <t>Erfafspoeling</t>
  </si>
  <si>
    <t>Glastuinbouw</t>
  </si>
  <si>
    <t>Meemesten</t>
  </si>
  <si>
    <t>Regenwaterriolen</t>
  </si>
  <si>
    <t>Watervogels</t>
  </si>
  <si>
    <t>Binnenvaart</t>
  </si>
  <si>
    <t>Overstorten</t>
  </si>
  <si>
    <t>Depositie open water</t>
  </si>
  <si>
    <t>Geselecteerde periode:</t>
  </si>
  <si>
    <t>Mineralisatie en uitloging</t>
  </si>
  <si>
    <t>Bemesting historisch</t>
  </si>
  <si>
    <t>Bemesting actueel</t>
  </si>
  <si>
    <t>Ecologische Sleutelfactoren</t>
  </si>
  <si>
    <t>Sleutelfactor</t>
  </si>
  <si>
    <t>Analyse 2019</t>
  </si>
  <si>
    <t>Analyse 2025</t>
  </si>
  <si>
    <t>Verwachting 2033</t>
  </si>
  <si>
    <t>ESF2019</t>
  </si>
  <si>
    <t>ESF2025</t>
  </si>
  <si>
    <t>ESF2033</t>
  </si>
  <si>
    <t>Oordeel</t>
  </si>
  <si>
    <t>1. Productiviteit water</t>
  </si>
  <si>
    <t>2. Lichtklimaat</t>
  </si>
  <si>
    <t>3. Productiviteit bodem</t>
  </si>
  <si>
    <t>4. Habitatgeschiktheid</t>
  </si>
  <si>
    <t>5. Verspreiding</t>
  </si>
  <si>
    <t>6 Verwijdering</t>
  </si>
  <si>
    <t>7. Organische belasting</t>
  </si>
  <si>
    <t>8. Toxiciteit</t>
  </si>
  <si>
    <t>Overzicht Technische doelaanpassing</t>
  </si>
  <si>
    <t>Resultaten KRW-Verkenner</t>
  </si>
  <si>
    <t>Verwachting 2033 (eigen methode)</t>
  </si>
  <si>
    <t>Verschil verwachting 2033 (eigenmethode) en Berekening 2027 KRW-Verkenner</t>
  </si>
  <si>
    <t>Nr</t>
  </si>
  <si>
    <t>Naam</t>
  </si>
  <si>
    <t>Type</t>
  </si>
  <si>
    <t>Waterlichaam</t>
  </si>
  <si>
    <t>Fyto-plankton</t>
  </si>
  <si>
    <t>Vege-tatie</t>
  </si>
  <si>
    <t>Macro-fauna</t>
  </si>
  <si>
    <t>Relevante versie KRW-verkenner. 1=Tussenevaluatie. 2=opdracht ZZL</t>
  </si>
  <si>
    <t>EKR</t>
  </si>
  <si>
    <t>Tussen-evaluatie</t>
  </si>
  <si>
    <t>Opdracht ZZL</t>
  </si>
  <si>
    <t>GEP3</t>
  </si>
  <si>
    <t>M1a</t>
  </si>
  <si>
    <t>n.v.t.</t>
  </si>
  <si>
    <t>M1b</t>
  </si>
  <si>
    <t>n.b.</t>
  </si>
  <si>
    <t>M6b</t>
  </si>
  <si>
    <t>M14</t>
  </si>
  <si>
    <t>M20</t>
  </si>
  <si>
    <t>GEP technisch aangepast</t>
  </si>
  <si>
    <t>Waterlichamen en normen</t>
  </si>
  <si>
    <t>Code</t>
  </si>
  <si>
    <t>Type omschrijving</t>
  </si>
  <si>
    <t>Status</t>
  </si>
  <si>
    <t>P</t>
  </si>
  <si>
    <t>N</t>
  </si>
  <si>
    <t>Cl</t>
  </si>
  <si>
    <t>T</t>
  </si>
  <si>
    <t>DZ</t>
  </si>
  <si>
    <t>pH-onder</t>
  </si>
  <si>
    <t>pH-boven</t>
  </si>
  <si>
    <t>O2-onder</t>
  </si>
  <si>
    <t>O2-boven</t>
  </si>
  <si>
    <t>Meetobject</t>
  </si>
  <si>
    <t>Geo_object</t>
  </si>
  <si>
    <t>Code zonder "NL37"</t>
  </si>
  <si>
    <t>NL37_ABC1_2013</t>
  </si>
  <si>
    <t>Tochten ABC1</t>
  </si>
  <si>
    <t>Zoete gebufferde sloten</t>
  </si>
  <si>
    <t>Kunstmatig</t>
  </si>
  <si>
    <t>-</t>
  </si>
  <si>
    <t>00586KRW</t>
  </si>
  <si>
    <t>ABC1_2013</t>
  </si>
  <si>
    <t>NL37_ABC2_2013</t>
  </si>
  <si>
    <t>Tochten ABC2</t>
  </si>
  <si>
    <t>00526KRW</t>
  </si>
  <si>
    <t>ABC2_2013</t>
  </si>
  <si>
    <t>NL37_Tochten_DE_Almere</t>
  </si>
  <si>
    <t>Tochten DE Almere</t>
  </si>
  <si>
    <t>Niet-zoete gebufferde sloten</t>
  </si>
  <si>
    <t>Tochten_DE_Almere</t>
  </si>
  <si>
    <t>NL37_Tochten_DE_Zuidlob</t>
  </si>
  <si>
    <t>Tochten DE Zuidlob</t>
  </si>
  <si>
    <t>Tochten_DE_Zuidlob</t>
  </si>
  <si>
    <t>NL37_FGIK_2013</t>
  </si>
  <si>
    <t>Tochten FGIK</t>
  </si>
  <si>
    <t>00003KRW</t>
  </si>
  <si>
    <t>FGIK_2013</t>
  </si>
  <si>
    <t>NL37_H_2013</t>
  </si>
  <si>
    <t>Tochten H</t>
  </si>
  <si>
    <t>00540KRW</t>
  </si>
  <si>
    <t>H_2013</t>
  </si>
  <si>
    <t>NL37_J_2013</t>
  </si>
  <si>
    <t>Tochten J</t>
  </si>
  <si>
    <t>00535KRW</t>
  </si>
  <si>
    <t>J_2013</t>
  </si>
  <si>
    <t>NL37_LMNOP_2013</t>
  </si>
  <si>
    <t>Tochten lage afdeling NOP</t>
  </si>
  <si>
    <t>ACV90KRW</t>
  </si>
  <si>
    <t>LMNOP_2013</t>
  </si>
  <si>
    <t>NL37_Q_2013</t>
  </si>
  <si>
    <t>Tochten hoge afdeling NOP</t>
  </si>
  <si>
    <t>CEV90KRW</t>
  </si>
  <si>
    <t>Q_2013</t>
  </si>
  <si>
    <t>NL37_RS</t>
  </si>
  <si>
    <t>Vaarten NOP</t>
  </si>
  <si>
    <t>Grote, ondiepe kanalen met scheepvaart</t>
  </si>
  <si>
    <t>BUV95KRW</t>
  </si>
  <si>
    <t>RS</t>
  </si>
  <si>
    <t>NL37_U</t>
  </si>
  <si>
    <t>Vaarten hoge afdeling ZOF</t>
  </si>
  <si>
    <t>00524KRW</t>
  </si>
  <si>
    <t>U</t>
  </si>
  <si>
    <t>NL37_V</t>
  </si>
  <si>
    <t>Vaarten lage afdeling ZOF</t>
  </si>
  <si>
    <t>00532KRW</t>
  </si>
  <si>
    <t>V</t>
  </si>
  <si>
    <t>NL37_Bovenwater</t>
  </si>
  <si>
    <t>Bovenwater</t>
  </si>
  <si>
    <t>Ondiepe gebufferde plassen (matig groot)</t>
  </si>
  <si>
    <t>00599KRW</t>
  </si>
  <si>
    <t>NL37_BOVENWATER</t>
  </si>
  <si>
    <t>BOVENWATER</t>
  </si>
  <si>
    <t>NL37_Harderbroek</t>
  </si>
  <si>
    <t>Harderbroek (oude deel)</t>
  </si>
  <si>
    <t>00556KRW</t>
  </si>
  <si>
    <t>NL37_HDBROEK</t>
  </si>
  <si>
    <t>HDBROEK</t>
  </si>
  <si>
    <t>NL37_Harderbroek_Roerdomp</t>
  </si>
  <si>
    <t>Harderbroek Roerdomp</t>
  </si>
  <si>
    <t>00933KRW</t>
  </si>
  <si>
    <t>NL37_HDBROEK_ROERDOMP</t>
  </si>
  <si>
    <t>HDBROEK_ROERDOMP</t>
  </si>
  <si>
    <t>NL37_Lepelaarplassen</t>
  </si>
  <si>
    <t>Lepelaarplassen</t>
  </si>
  <si>
    <t>00079KRW</t>
  </si>
  <si>
    <t>NL37_LEPELAARPLASSEN</t>
  </si>
  <si>
    <t>LEPELAARPLASSEN</t>
  </si>
  <si>
    <t>NL37_Noorderplassen</t>
  </si>
  <si>
    <t>Noorderplassen</t>
  </si>
  <si>
    <t>Matig grote diepe gebufferde meren</t>
  </si>
  <si>
    <t>00022KRW</t>
  </si>
  <si>
    <t>NL37_NOORDERPLASSEN</t>
  </si>
  <si>
    <t>NOORDERPLASSEN</t>
  </si>
  <si>
    <t>NL37_Oostvaardersplassen</t>
  </si>
  <si>
    <t>Oostvaardersplassen</t>
  </si>
  <si>
    <t>Sterk veranderd</t>
  </si>
  <si>
    <t>00059KRW</t>
  </si>
  <si>
    <t>NL37_OOSTVAARDERSPLASSEN</t>
  </si>
  <si>
    <t>OOSTVAARDERSPLASSEN</t>
  </si>
  <si>
    <t>NL37_X</t>
  </si>
  <si>
    <t>Vollenhover- en Kadoelermeer</t>
  </si>
  <si>
    <t>QKM12KRW</t>
  </si>
  <si>
    <t>X</t>
  </si>
  <si>
    <t>NL37_Weerwater</t>
  </si>
  <si>
    <t>Weerwater</t>
  </si>
  <si>
    <t>00255KRW</t>
  </si>
  <si>
    <t>NL37_WEERWATER</t>
  </si>
  <si>
    <t>WEERWATER</t>
  </si>
  <si>
    <t>Metingen</t>
  </si>
  <si>
    <t>2. Verwachting 2033 eigen methode</t>
  </si>
  <si>
    <t>3. KRW-Verkenner</t>
  </si>
  <si>
    <t>5. Voorstel GEP4 (met onzekerheidsmarge)</t>
  </si>
  <si>
    <t>Trend</t>
  </si>
  <si>
    <t>Toestand 2019 (gegevens 2013-2018), 
rapport SGBP3</t>
  </si>
  <si>
    <t>Effect maatregelen</t>
  </si>
  <si>
    <t>GEP3 zonder afronding</t>
  </si>
  <si>
    <t>Afronding</t>
  </si>
  <si>
    <t>Toestand 2019 (gegevens 2013-2018), 
Aquokit 2025</t>
  </si>
  <si>
    <t>Verschil met toestand 2019, rapport SGBP3</t>
  </si>
  <si>
    <t>Effect maatregelen + nieuwe ontwikkelingen</t>
  </si>
  <si>
    <t>Uitgangspunt toestand 2023 (gegevens 2017-2022), 
Aquokit 2023</t>
  </si>
  <si>
    <t>Resultaat tussen-evaluatie 2027</t>
  </si>
  <si>
    <t>Resultaat met voorgestelde nutriëntdoelen SGBP4</t>
  </si>
  <si>
    <t>Toestand 2025 (gegevens 2019-2024), 
Aquokit 2025</t>
  </si>
  <si>
    <t>Trend (EKR/jaar)</t>
  </si>
  <si>
    <t>R2 (betrouwbaar-heid trend; 
1=hoog, 0=laag)</t>
  </si>
  <si>
    <t>Motivatie (nieuw)</t>
  </si>
  <si>
    <t>Gem</t>
  </si>
  <si>
    <t>Richting</t>
  </si>
  <si>
    <t>R2</t>
  </si>
  <si>
    <t>Gem SD</t>
  </si>
  <si>
    <t>Nr WL</t>
  </si>
  <si>
    <t>Nr variant KRW-verkenner</t>
  </si>
  <si>
    <t>Omschrijving variant KRW-verkenner</t>
  </si>
  <si>
    <t>Fytoplankton is voor waterype M1a en M1b geen kwaliteitselement voor de KRW.</t>
  </si>
  <si>
    <t>Geen / te verwaarlozen</t>
  </si>
  <si>
    <t>De eigen methode komt op een EKR van 0,61. De KRW-verkenner berekent een kleine verbetering in toestand, die ook leidt tot een toestand die groter is dan 0,60 EKR. Het GEP blijft daarom ongewijzigd op 0,60 EKR.</t>
  </si>
  <si>
    <t>De eigen methode en de KRW-verkenner verwachten waarden hoger dan 0,60 EKR. Er is wel een negatieve ontwikkeling zichtbaar. De toestand 2025 is ook lager dan die van 2019, maar nog hoger dan 0,60 EKR. Mogelijk wordt dit veroorzaakt door inlaat van Markermeerwater voor doorspoeling/aanvulling van de Veluwerandmeren. Het GEP blijft ongewijzigd op 0,60 EKR.</t>
  </si>
  <si>
    <t xml:space="preserve">Volgens de eigen methode wordt een EKR van 0,56 verwacht.  De KRW-verkenner berekent nauwelijks een verandering in toestand, maar die is hoger dan de toestand 2025. Er is geen betrouwbare trend. Uitgaande van de eigen methode en de onzekerheidsmarge van 0,03 EKR, wordt het GEP bijgesteld tot 0,53 EKR. </t>
  </si>
  <si>
    <t>Uitgaande van de eigen methode wordt een EKR verwacht van 0,26 EKR. De KRW-verkenner berekent een achteruitgang, maar de toestand 2025 laat dit niet zien. Uitgaande van de onzekerheidsmarge van 0,03 EKR wordt het GEP bijgesteld tot 0,23 EKR.</t>
  </si>
  <si>
    <t>Visstandbeheer, peilbeheer, baggeren</t>
  </si>
  <si>
    <t>Visstandbeheer, peilbeheer, baggeren: + 0,32 EKR</t>
  </si>
  <si>
    <t>Staat droog</t>
  </si>
  <si>
    <t>De maatregelen uit SGBP3 zijn nog in uitvoering, het gebied staat hierdoor momenteel nog grotendeels droog. De natuurdoelen voor dit gebied zijn gericht op moerasvogels. Met Natuurmonumenten is afgesproken het GEP daarom niet te wijzigen.</t>
  </si>
  <si>
    <t>N.v.t.</t>
  </si>
  <si>
    <t>Er is een achteruitgang in de monitoringsresultaten zichtbaar. Mogelijk is dit het gevolg van het grotendeels droogvallen tijdens de droge zomers van de laatste jaren. Omdat dit voor de natuurdoelen, die gericht zijn op watervogels, ook ongewenst is, onderzoekt Natuurmonumenten momenteel wat de ontwikkelingspotenties van het gebied zijn. Daarom is afgesproken het GEP vooralsnog  niet te wijzigen.</t>
  </si>
  <si>
    <t>0,55
Data 2019, berekening met QBWat</t>
  </si>
  <si>
    <t>0,59
Gegevens 2019</t>
  </si>
  <si>
    <t>De (natuur)doelen voor dit gebied zijn gericht op moerasvogels. Op dit moment is het nog onduidelijk welke maatregelen genomen zullen worden voor het PAGW-project Oostvaardersoevers. Met Flevo-landschap is daarom afgesproken het GEP niet te wijzigen</t>
  </si>
  <si>
    <t>Zowel de eigen methode als de KRW-verkenner verwachten een toestand die fors hoger is dan 0,60 EKR. Het GEP blijft daarom ongewijzigd 0,60 EKR.</t>
  </si>
  <si>
    <t>Droogzetten i.v.m. moerasreset</t>
  </si>
  <si>
    <t>De (natuur)doelstellingen voor dit waterlichaam zijn gericht op water- en moerasvogels. Voor de ontwikkeling van het benodigde riet is een groot deel van het gebied de afgelopen jaren droog gezet. Vanaf najaar 2025 mocht het zich weer vullen met water. Het effect van deze maatregelen is nog niet tot uiting gekomen. Verder is nog onduidelijk welke maatregelen genomen zullen worden voor het PAGW-project Oostvaardersoevers. Met Staatsbosbeheer is daarom afgesproken het GEP niet te wijzigen.</t>
  </si>
  <si>
    <t>Het Vollenhovermeer maakt deel uit van het Natura 2000 gebied Wieden-Weerribben.  Langs de oostoever van het Vollenhovermeer worden maatregelen in de rietzone genomen om het biotoop weer geschikter te maken voor de Grote karekiet. in dit kader worden o.a. slenken gegraven, die ook een positieve invloed kunnen hebben op de voor de KRW relevante kwaliteitselementen. Met de beheerder Natuurmonumenten is afgesproken het GEP voor dit gebied vooralsnog niet te wijzigen.</t>
  </si>
  <si>
    <t>Verwijderen karper Stobbentocht</t>
  </si>
  <si>
    <t xml:space="preserve">Verwijderen karper: +0,01 EKR (zoals bij GEP3) 
</t>
  </si>
  <si>
    <t>Volgens de eigen methode wordt een EKR van 0,59 verwacht. De KRW-verkenner verwacht een verbetering van 0,03 tot 0,05 EKR. De toestand in 2025 laat (ondanks de uitgevoerde maatregelen) echter een verslechtering zien, die niet goed te verklaren is. Mogelijk hangt het samen met ingrepen van terreinbeheerders de afgelopen tijd (bijvoorbeeld een hoger peil, dat de schone kwel weg drukt), maar het kan ook samenhangen met het dichtgroeien van tochten, waardoor de EKR door de te hoge abundantie lager is.  Dit zal worden uitgezocht en afhankelijk van de uitkomst, wordt er actie ondernomen. Omdat achteruitgang niet is toegestaan vanuit de KRW, is het  GEP4 gebaseerd op de geactualiseerde toestand 2018 met correctie voor de onzekerheidsmarge van 0,03 EKR. Dit leidt tot een bijgesteld GEP van 0,56 EKR.</t>
  </si>
  <si>
    <t>Effect van eerder aangelegde duurzame oevers</t>
  </si>
  <si>
    <t>Te verwachten effect aangelegde duurzame oevers: +0,02 EKR</t>
  </si>
  <si>
    <t>Volgens de eigen methode wordt een EKR van 0,56 verwacht. Ondanks dat de KRW-verkenner een achteruitgang berekent, is er een positieve trend in kwaliteit zichtbaar: de toestand 2025 bedraagt 0,60 EKR. Rekening houdend met de onzekerheidsmarge, wordt het GEP daarom aangepast tot 0,53 EKR.</t>
  </si>
  <si>
    <t>Nieuw waterlichaam</t>
  </si>
  <si>
    <t>N.v.t</t>
  </si>
  <si>
    <t>Dit is een nieuw begrensd waterlichaam. Er komen in de toekomst nog meetpunten bij. De toestand 2025 is 0,48 EKR. Het GEP4 wordt conservatief gebaseerd op het laagste oordeel, in dit geval de toestand 2025. Met de onzekerheidsmarge van 0,03 EKR wordt het GEP 0,45 EKR. Als de gegevens van de nieuwe meetpunten beschikbaar zijn, kan het GEP voor SGBP5 herijkt worden.</t>
  </si>
  <si>
    <t>Dit is een nieuw begrensd waterlichaam maar de biologische meetpunten wijzigen niet. Daarom kan de eigen methode gevolgd worden. Volgens de eigen methode wordt een EKR van 0,52 verwacht. Er is geen  trend. Rekening houdend met de onzekerheidsmarge van 0,03 EKR wordt het GEP bijgesteld naar 0,49 EKR.</t>
  </si>
  <si>
    <t>Aanleg duurzame oevers 2019 en stikstofopgave</t>
  </si>
  <si>
    <t>Aanleg duurzame oevers 2019: +0,05 EKR</t>
  </si>
  <si>
    <t>Volgens de eigen methode wordt een EKR van 0,55 verwacht. De KRW-verkenner berekent echter nauwelijks een verandering in toestand. Er is geen betrouwbare trend. De toestand 2025 is wel verbeterd ten opzichte van die in 2019. Rekening houdend met de onzekerheidsmarge van 0,03 EKR, wordt het GEP bijgesteld naar 0,52 EKR.</t>
  </si>
  <si>
    <t>0,59
Oude indeling</t>
  </si>
  <si>
    <t>Geen KRW-maatregelen</t>
  </si>
  <si>
    <t>0,64
Nieuwe indeling</t>
  </si>
  <si>
    <t>0,55
Oude indeling</t>
  </si>
  <si>
    <t>De begrenzing van dit waterlichaam is gewijzigd voor SGBP4. Volgens de eigen methode wordt een EKR van 0,64 verwacht. De berekening van de KRW-verkenner houdt geen rekening met deze herbegrenzing.  De toestand 2025 is ook hoger dan 0,60 EKR. Met de onzekerheidsmarge van 0,03 EKR is daarom naar verwachting een EKR van 0,61 haalbaar (dus hoger dan de default van 0,60 EKR). Het GEP wordt daarom bijgesteld naar de default van 0,60 EKR.</t>
  </si>
  <si>
    <t>0,39
Oude indeling</t>
  </si>
  <si>
    <t>Kleine opgave duurzame oevers</t>
  </si>
  <si>
    <t>0,46
Nieuwe indeling</t>
  </si>
  <si>
    <t>Kleine opgave duurzame oevers (+0,05 EKR)</t>
  </si>
  <si>
    <t>0,38
Oude indeling</t>
  </si>
  <si>
    <t>De begrenzing van dit waterlichaam is gewijzigd voor SGBP4. Volgens de eigen methode is een EKR van 0,51 haalbaar. De berekening van de KRW-verkenner houdt geen rekening met deze herbegrenzing. Het gebied verzilt. Hierdoor, maar ook door de herbegrenzing, waren de chloridenormen uit SGBP3 niet meer realistisch. Voor SGBP4 zijn daarom nieuwe, hogere chloridenormen afgeleid. Het is nu nog onduidelijk of er maatregelen zullen worden genomen vanuit het project Zoetwaterbeschikbaarheid om de verzilting tegen te gaan. Ook de KRW-verkenner berekening houdt geen rekening met verzilting (en de herbegrenzing). De norm en redeneerlijn uit de derde KRW-planperiode zijn hierdoor niet meer toepasbaar. Voor GEP4 is daarom niet uitgegaan van de eigen methode, maar wordt het GEP gebaseerd op de toestand 2025 met een onzekerheidsmarge van 0,03 EKR.</t>
  </si>
  <si>
    <t>Doorzetten gewijzigd maaibeheer: +0,02 EKR</t>
  </si>
  <si>
    <r>
      <rPr>
        <sz val="11"/>
        <color rgb="FF000000"/>
        <rFont val="Aptos Narrow"/>
        <family val="2"/>
        <scheme val="minor"/>
      </rPr>
      <t>Volgens de eigen methode wordt een EKR van 0,56 verwacht</t>
    </r>
    <r>
      <rPr>
        <sz val="11"/>
        <color rgb="FF00B0F0"/>
        <rFont val="Aptos Narrow"/>
        <family val="2"/>
        <scheme val="minor"/>
      </rPr>
      <t>.</t>
    </r>
    <r>
      <rPr>
        <sz val="11"/>
        <color rgb="FF000000"/>
        <rFont val="Aptos Narrow"/>
        <family val="2"/>
        <scheme val="minor"/>
      </rPr>
      <t xml:space="preserve"> De KRW-verkenner berekent een lichte achteruitgang. De toestand 2025  is echter hoger dan in 2019 en er is een positieve trend waarneembaar. Rekening houdend met de onzekerheidsmarge van 0,03 EKR, wordt het GEP bijgesteld tot 0,53 EKR.</t>
    </r>
  </si>
  <si>
    <t>De eigen methode verwacht een EKR van ruim boven de 0,60. De KRW-verkenner berekent een verbetering van de toestand, die ook leidt tot een EKR dat hoger is dan 0,60. Ook als rekening wordt gehouden met de onzekerheidsmarge van 0,03 EKR, is een GEP van 0,60 EKR haalbaar. Het GEP wordt daarom niet gewijzigd.</t>
  </si>
  <si>
    <t>Aanleg NVO's 8,5 km in 2020. Uitvoeren achterstallig onderhoud</t>
  </si>
  <si>
    <t>Aanleg NVO's 8,5 km in 2020: + 0,05 EKR. Uitvoeren achterstallig onderhoud: +0,05 EKR</t>
  </si>
  <si>
    <t>Uitvoeren achterstallig onderhoud</t>
  </si>
  <si>
    <t>Uitvoeren achterstallig onderhoud: +0,05 EKR</t>
  </si>
  <si>
    <t>Ontwikkeling aangelegde NVO's. Uitvoeren achterstallig onderhoud</t>
  </si>
  <si>
    <t>De eigen methode verwacht een EKR van 0,55. De KRW-verkenner berekent een achteruitgang. De toestand 2025 is echter fors hoger. In het Bovenwater zijn tijdens de eerste en tweede KRW-planperiode beheermaatregelen uitgevoerd, waarvan de effecten nu pas tot uiting lijken te komen, gelet op de toestand 2025. Het GEP wordt daarom alleen gecorrigeerd met de onzekerheidsmarge van 0,03 EKR en bijgesteld tot 0,52 EKR. Mocht de positieve trend doorzetten, dan kan in het SGBP5 het GEP naar boven bijgesteld worden.</t>
  </si>
  <si>
    <t>Visstandbeheer, peilbeheer, inplant riet, baggeren</t>
  </si>
  <si>
    <t>Visstandbeheer, peilbeheer, inplant riet, baggeren: + 0,38 EKR</t>
  </si>
  <si>
    <t>Er is een achteruitgang in de monitoringsresultaten zichtbaar. Mogelijk is dit het gevolg van het grotendeels droogvallen tijdens de droge zomers de laatste jaren. Omdat dit voor de natuurdoelen, die gericht zijn op watervogels, ook ongewenst is, onderzoekt Natuurmonumenten momenteel wat de ontwikkelingspotenties van het gebied zijn. Daarom is afgesproken het GEP vooralsnog  niet te wijzigen.</t>
  </si>
  <si>
    <t>0,55
Data 2019, beoordeling met QBWat</t>
  </si>
  <si>
    <t>Aanleg NVO's</t>
  </si>
  <si>
    <t>Aanleg NVO's: +0,05 EKR</t>
  </si>
  <si>
    <t>Volgens de eigen methode wordt een EKR verwacht van 0,51. De KRW-verkenner berekent eveneens een verbetering van de toestand. Er is geen betrouwbare trend. De toestand 2025 laat nog geen verbetering zien ten opzichte van die van 2019, omdat de NVO's nog niet in de monitoring betrokken zijn. Rekening houdend met de onzekerheidsmarge van 0,03 EKR wordt het GEP bijgesteld naar 0,48 EKR.</t>
  </si>
  <si>
    <t>0,11
Alleen Hoekplas en Keersluisplas</t>
  </si>
  <si>
    <t>Aanleg slenken in de rietoevers: +0,05 EKR</t>
  </si>
  <si>
    <t>Het Vollenhovermeer maakt deel uit van het Natura 2000 gebied Wieden-Weerribben.  Langs de oostoever van het Vollenhovermeer worden maatregelen in de rietzone genomen om het biotoop weer geschikter te maken voor de Grote Karekiet. In dit kader worden o.a. slenken gegraven, die ook een positieve invloed kunnen hebben op de vegetatie. Met de beheerder Natuurmonumenten is afgesproken het GEP voor dit gebied vooralsnog niet te wijzigen.</t>
  </si>
  <si>
    <t xml:space="preserve">Volgens de eigen methode wordt een EKR verwacht van 0,57. De KRW-verkenner berekent eveneens een verbetering van de toestand. De toestand 2025 laat een achteruitgang zien, maar de NVO's zijn nog niet in de monitoring betrokken. Rekening houdend met de onzekerheidsmarge van 0,03 EKR wordt het GEP bijgesteld naar 0,54 EKR. </t>
  </si>
  <si>
    <t xml:space="preserve">Verwijderen karper: +0,01 EKR
</t>
  </si>
  <si>
    <t>Volgens de eigen methode wordt een EKR van 0,52 verwacht. De KRW-verkenner berekent  eveneens een verbetering  in toestand. De toestand in 2025 laat nauwelijks een verandering zien ten opzichte van die in 2019. Rekening houdend met de onzekerheidsmarge van 0,03 EKR, wordt het GEP daarom bijgesteld naar 0,49 EKR.</t>
  </si>
  <si>
    <t>Volgens de eigen methode wordt een EKR van 0,43 verwacht. De KRW-verkenner verwacht eveneens nauwelijks een verandering in toestand. Er is geen trend zichtbaar. Rekening houdend met de onzekerheidsmarge van 0,03 EKR, wordt het GEP bijgesteld tot 0,40 EKR.</t>
  </si>
  <si>
    <t>Dit is een nieuw begrensd waterlichaam. Er komen in de toekomst nog meetpunten bij. De toestand 2025 is 0,46 EKR. Het GEP4 wordt conservatief gebaseerd op het laagste oordeel, in dit geval de toestand 2025. Met de onzekerheidsmarge van 0,03 EKR wordt het GEP 0,43 EKR. Als de gegevens van de nieuwe meetpunten beschikbaar zijn, kan het GEP voor SGBP5 herijkt worden.</t>
  </si>
  <si>
    <t>Dit is een nieuw begrensd waterlichaam maar de biologische meetpunten wijzigen niet. Daarom kan de eigen methode gevolgd worden. Volgens de eigen methode wordt een EKR van 0,46 verwacht. Er is geen  trend. Rekening houdend met de onzekerheidsmarge van 0,03 EKR wordt het GEP bijgesteld naar 0,43 EKR.</t>
  </si>
  <si>
    <t>Oplossen toxiciteit antropogene stoffen: +0,05 EKR</t>
  </si>
  <si>
    <t>Aanleg duurzame oevers 2019: +0,02 EKR. Opheffen toxiciteit antropogene stoffen: +0,05 EKR</t>
  </si>
  <si>
    <t>Volgens de eigen methode wordt een EKR van 0,42 verwacht. De KRW-verkenner laat geen toestandsverandering zien. Er is echter wel een positieve trend die ook tot uiting komt in de toestand 2025. Mogelijk spelen gewasbeschermingsmiddelen nog een rol. Rekening houdend met de onzekerheidsmarge van 0,03 EKR  wordt het GEP daarom bijgesteld tot 0,39 EKR.</t>
  </si>
  <si>
    <t>0,35
Oude indeling</t>
  </si>
  <si>
    <t>0,42
Nieuwe indeling</t>
  </si>
  <si>
    <t>Oplossen antropogene toxiciteit: + 0,02 EKR</t>
  </si>
  <si>
    <t>0,33
Oude indeling</t>
  </si>
  <si>
    <t xml:space="preserve">De begrenzing van dit waterlichaam is gewijzigd voor SGBP4. Volgens de eigen methode wordt een EKR van 0,44 verwacht. De berekening van de KRW-verkenner laat eveneens een verbetering zien, maar houdt geen rekening met deze herbegrenzing. Met de onzekerheidsmarge van 0,03 EKR is naar verwachting een toestand  van 0,41 EKR haalbaar. Er is echter wel een negatieve trend zichtbaar. Dit zal worden uitgezocht en afhankelijk van de uitkomst, wordt er actie ondernomen. </t>
  </si>
  <si>
    <t>0,17
Oude indeling</t>
  </si>
  <si>
    <t>0,21
Nieuwe indeling</t>
  </si>
  <si>
    <t>Kleine opgave duurzame oevers (+0,02 EKR). Oplossen antropogene toxiciteit: +0,02 EKR</t>
  </si>
  <si>
    <t>0,18
Oude indeling</t>
  </si>
  <si>
    <t>De begrenzing van dit waterlichaam is gewijzigd voor SGBP4. Volgens de eigen methode is een EKR van 0,25 haalbaar.  De berekening van de KRW-verkenner laat eveneens een kleine verbetering zien, maar houdt geen rekening met deze herbegrenzing. Het gebied verzilt. Hierdoor, maar ook door de herbegrenzing, waren de chloridenormen uit SGBP3 niet meer realistisch. Voor SGBP4 zijn daarom nieuwe, hogere chloridenormen afgeleid. Het is nu nog onduidelijk of er maatregelen zullen worden genomen vanuit het project Zoetwaterbeschikbaarheid om de verzilting tegen te gaan. Ook de KRW-verkenner berekening houdt geen rekening met verzilting (en de herbegrenzing). De norm en redeneerlijn uit de derde KRW-planperiode zijn hierdoor niet meer toepasbaar. Voor GEP4 is daarom niet uitgegaan van de eigen methode, maar  wordt het GEP gebaseerd op de toestand 2025 met een onzekerheidsmarge van 0,03 EKR. Hierbij wordt nog een een EKR van 0,02 bij opgeteld als correctie voor de toxiciteit door antropogene stoffen (die van invloed is op de toestand 2025).</t>
  </si>
  <si>
    <t>Doorwerken gewijzigd maaibeheer (+0,02 EKR), maar deels speelt hoge gehalte ijzer, daarom effect van: +0,01 EKR. Oplossen toxiciteit antropogene stoffen +0,02 EKR</t>
  </si>
  <si>
    <t>Volgens de eigen methode wordt een EKR van 0,25 verwacht. De KRW-verkenner berekent eveneens een verbetering in toestand. De toestand in 2025 laat echter nauwelijks ontwikkeling zien t.o.v. die in 2019.  Ook is er  geen trend waarneembaar. Mogelijk spelen gewasbeschermingsmiddelen hierbij een rol. Het GEP wordt daarom alleen aangepast voor de onzekerheidsmarge van 0,03 EKR.</t>
  </si>
  <si>
    <t>0,44
Inclusief Enservaart</t>
  </si>
  <si>
    <t>Oplossen toxiciteit antropogene stoffenc: +0,05 EKR</t>
  </si>
  <si>
    <t>0,47
Exclusief Enservaart</t>
  </si>
  <si>
    <t>Doorwerken gewijzigd maaibeheer (+0,02 EKR), maar deels speelt hoge gehalte ijzer, daarom effect van: +0,01 EKR. Oplossen antropogene toxiciteit: +0,05 EKR</t>
  </si>
  <si>
    <t xml:space="preserve">De eigen methode verwacht een EKR van 0,53. De KRW-verkenner berekent eveneens een verbetering in toestand. Er is geen verandering in toestand te zien in 2025 ten opzichte van die in  2019. Mogelijk spelen gewasbeschermingsmiddelen hierbij een rol. Rekening houdend met de onzekerheidsmarge van 0,03 EKR, wordt het GEP daarom bijgesteld tot 0,50 EKR. </t>
  </si>
  <si>
    <t>Aanleg NVO's  8,5 km in 2020</t>
  </si>
  <si>
    <t>NVO's  8,5 km in 2020: +0,05 EKR. Achterstallig onderhoud: +0,02 EKR. Oplossen toxiciteit antropogene stoffen: +0,02 EKR</t>
  </si>
  <si>
    <t>Uitvoeren achterstallig onderhoud: +0,02 EKR</t>
  </si>
  <si>
    <t>Uitvoeren achterstallig onderhoud: +0,02 EKR. Oplossen toxiciteit antropogene stoffen: +0,02 EKR</t>
  </si>
  <si>
    <t xml:space="preserve">Volgens de eigen methode wordt een EKR van 0,44 verwacht. De KRW-verkenner berekent eveneens nauwelijks een verandering  in toestand.  Er is sprake van een negatieve trend. De oorzaak zal worden uitgezocht en afhankelijk van de uitkomst wordt er actie ondernomen. Rekening houdend met de onzekerheidsmarge van 0,03 EKR wordt het GEP bijgesteld tot  0,41 EKR. </t>
  </si>
  <si>
    <t>Visstandbeheer, peilbeheer, inplant riet, baggeren: + 0,01 EKR</t>
  </si>
  <si>
    <t xml:space="preserve">De plas is grotendeels droogvallen tijdens de droge 's zomers de laatste jaren. Omdat dit voor de natuurdoelen, die gericht zijn op watervogels, ongewenst is, onderzoekt Natuurmonumenten momenteel wat de ontwikkelingspotenties van het gebied zijn. Daarom is afgesproken het GEP vooralsnog niet te wijzigen.  </t>
  </si>
  <si>
    <t>0,40
Data 2019, toetsing met QBWat</t>
  </si>
  <si>
    <t>Oplossen toxiciteit antropogene stoffen: +0,02 EKR</t>
  </si>
  <si>
    <t>Aanleg NVO's: +0,02 EKR</t>
  </si>
  <si>
    <t>Volgens de eigen methode wordt een EKR verwacht van 0,43. De KRW-verkenner berekent geen verandering in toestand. De toestand 2025 laat een kleine verbetering zien t.o.v. die in 2019, ondanks dat de NVO's nog niet in de monitoring betrokken zijn. Rekening houdend met de onzekerheidsmarge van 0,03 EKR wordt het GEP bijgesteld naar 0,40 EKR.</t>
  </si>
  <si>
    <t>0,32
Alleen Hoekplas en Keersluisplas</t>
  </si>
  <si>
    <t>Aanleg slenken in oevers: +0,02 EKR.</t>
  </si>
  <si>
    <t>Het Vollenhovermeer maakt deel uit van het Natura 2000 gebied Wieden-Weerribben.  Langs de oostoever van het Vollenhovermeer worden maatregelen in de rietzone genomen om het biotoop weer geschikter te maken voor de Grote Karekiet. In dit kader worden o.a. slenken gegraven, die ook een positieve invloed kunnen hebben op de macrofauna. Met de beheerder Natuurmonumenten is afgesproken het GEP voor dit gebied vooralsnog niet te wijzigen.</t>
  </si>
  <si>
    <t>Volgens de eigen methode wordt een EKR verwacht van 0,45. De KRW-verkenner berekent echter geen verandering in toestand. De toestand 2025 laat een verbetering zien, ondanks dat de NVO's nog niet in de monitoring betrokken zijn. Rekening houdend met de onzekerheidsmarge van 0,03 EKR wordt het GEP bijgesteld naar 0,42 EKR.</t>
  </si>
  <si>
    <t>4. Wat zien we?</t>
  </si>
  <si>
    <t>Toestand 2019-2024, 
Aquokit 2025</t>
  </si>
  <si>
    <t>Aanleg vispassages stuwen, verwijderen karper Stobbentocht</t>
  </si>
  <si>
    <t xml:space="preserve">Aanleg vispassages stuwen en
verwijderen karper: +0,04 EKR (volgens ATKB). Aanleg vispassage gemaal De Blocq van Kuffeler: +0,01 EKR
</t>
  </si>
  <si>
    <t xml:space="preserve">Volgens de eigen methode wordt een EKR van 0,43 verwacht. De KRW-verkenner berekent echter geen verandering in toestand. De toestand in 2025 laat een verbetering zien ten opzichte van die in 2019. Rekening houdend met de onzekerheidsmarge van 0,03 EKR, blijft het GEP ongewijzigd op 0,40 EKR. </t>
  </si>
  <si>
    <t>Aanleg vispassage stuw</t>
  </si>
  <si>
    <t>Aanleg vispassage stuwen :+0,01 EKR. Aanleg vispassage gemaal De Blocq van Kuffeler: +0,01 EKR</t>
  </si>
  <si>
    <t>De eigen methode verwacht een EKR van 0,48. De KRW-verkenner laat nauwelijks een verandering in toestand zien. De toestand in 2025 is hoger dan 0,60 EKR en laat een forse toename zien t.o.v. die in 2019. Alhoewel dit een positieve ontwikkeling is, wordt hier gelet op het beperkte aantal monitoringresultaten (1x/6jaar) voor GEP4 nog geen rekening mee gehouden. Als de trend doorzet, kan dit wel voor SGBP5. Rekening houdend met de onzekerheidsmarge van 0,03 EKR, blijft het GEP daarom ongewijzigd op 0,45 EKR.</t>
  </si>
  <si>
    <t>0,41
Gegevens 2013 en 2018</t>
  </si>
  <si>
    <t>Aanleg vispassage gemaal De Blocq van Kuffeler: +0,01 EKR</t>
  </si>
  <si>
    <t>Dit is een nieuw begrensd waterlichaam. In de toekomst zal de monitoring aangepast worden aan de nieuwe begrenzing. De toestand 2025 is 0,68 EKR. Het GEP4 wordt conservatief gebaseerd op het laagste oordeel, in dit geval de toestand 2019 (0,42 EKR). Met de onzekerheidsmarge van 0,03 EKR wordt het GEP 0,39 EKR. Als de gegevens van de aangepaste monitoring beschikbaar zijn, kan het GEP voor SGBP5 herijkt worden.</t>
  </si>
  <si>
    <t>0,48
Gegevens 2013 en 2018</t>
  </si>
  <si>
    <t>Aanleg vispassage stuw: +0,01 EKR (volgens ATKB). Aanleg vispassage gemaal: De Blocq van Kuffeler: +0,01 EKR</t>
  </si>
  <si>
    <t>Dit is een nieuw begrensd waterlichaam. In de toekomst zal de monitoring aangepast worden aan de nieuwe begrenzing. De toestand 2025 is 0,69 EKR. Het GEP4 wordt conservatief gebaseerd op het laagste oordeel, in dit geval de toestand 2019 (0,50 EKR). Met de onzekerheidsmarge van 0,03 EKR wordt het GEP 0,47 EKR. Als de gegevens van de aangepast monitoring beschikbaar zijn, kan het GEP voor SGBP5 herijkt worden.</t>
  </si>
  <si>
    <t>Aanleg duurzame oevers in 2019: +0,02  EKR. Aanleg vispassage gemaal De Blocq van Kuffeler: +0,01 EKR</t>
  </si>
  <si>
    <t>0,58
Gegevens 2025</t>
  </si>
  <si>
    <t>De eigen methode verwacht een EKR van 0,47. De KRW-verkenner berekent geen verandering in toestand. Recente monitoring (2025) laat echter een toestand zien van 0,58 EKR. Ook is er een positieve trend. Rekening houdend met de onzekerheidsmarge van 0,03 EKR, wordt het GEP daarom aangepast tot 0,44 EKR.</t>
  </si>
  <si>
    <t>0,48
Oude indeling</t>
  </si>
  <si>
    <t>Vispassage gemaal De Blocq van Kuffeler</t>
  </si>
  <si>
    <t>0,49
Nieuwe indeling. Gegevens 2013 en 2018</t>
  </si>
  <si>
    <t>Vispassage gemaal De Blocq van Kuffeler: +0,01</t>
  </si>
  <si>
    <t>0,66
Gegevens 2025</t>
  </si>
  <si>
    <t xml:space="preserve">De begrenzing van dit waterlichaam is gewijzigd voor SGBP4. Volgens de eigen methode wordt een EKR van 0,50 verwacht.  De berekening van de KRW-verkenner houdt geen rekening met deze herbegrenzing.  De toestand in 2025 laat een forse toename zien t.o.v. die in 2019. Alhoewel dit een positieve ontwikkeling is, wordt hier gelet op het beperkte aantal monitoringresultaten (1x/6jaar) voor GEP4 nog geen rekening mee gehouden. Als de trend doorzet, kan dit wel voor SGBP5. Uitgaande van de onzekerheidsmarge van 0,03 EKR, wordt het GEP bijgesteld naar 0,47 EKR. </t>
  </si>
  <si>
    <t>0,47
Oude indeling</t>
  </si>
  <si>
    <t>0,43
Nieuwe indeling. Gegevens 2013 en 2018</t>
  </si>
  <si>
    <t>Kleine opgave duurzame oevers: +0,02 EKR. Vispassage gemaal De Blocq van Kuffeler: +0,01 EKR</t>
  </si>
  <si>
    <t>0,38
Gegevens 2025</t>
  </si>
  <si>
    <t>De begrenzing van dit waterlichaam is gewijzigd voor SGBP4. Volgens de eigen methode wordt een EKR van 0,46 verwacht. De berekening van de KRW-verkenner houdt geen rekening met deze herbegrenzing. Het gebied verzilt. Hierdoor, maar ook door de herbegrenzing, waren de chloridenormen uit SGBP3 niet meer realistisch. Voor SGBP4 zijn daarom nieuwe, hogere chloridenormen afgeleid. Het is nu nog onduidelijk of er maatregelen zullen worden genomen vanuit het project Zoetwaterbeschikbaarheid om de verzilting tegen te gaan. Ook de KRW-verkenner berekening houdt geen rekening met verzilting. De norm en redeneerlijn uit de derde KRW-planperiode zijn hierdoor niet meer toepasbaar. Voor GEP4 is daarom niet uitgegaan van de eigen methode, maar  wordt het GEP gebaseerd op de toestand in 2025 met een onzekerheidsmarge van 0,03 EKR.</t>
  </si>
  <si>
    <t>Vispassage gemaal Vissering</t>
  </si>
  <si>
    <t>Optimalisatie maaibeheer +0,02 EKR. Vispassages Vissering en Expansiegemaal bij Marknesse: +0,02 EKR</t>
  </si>
  <si>
    <t>De eigen methode verwacht een EKR van 0,50. De KRW-verkenner berekent eveneens een verbetering. De toestand in 2025 laat een forse toename zien t.o.v. die in 2019. Alhoewel dit een positieve ontwikkeling is, wordt hier gelet op het beperkte aantal monitoringresultaten (1x/6jaar) voor GEP4 nog geen rekening mee gehouden. Als de trend doorzet, kan dit wel voor SGBP5. Rekening houdend met de onzekerheidsmarge van 0,03 EKR, wordt het GEP daarom bijgesteld tot 0,47 EKR.</t>
  </si>
  <si>
    <t>0,46
Gegevens 2020</t>
  </si>
  <si>
    <t>Visvriendelijk beheer Marknessersluis</t>
  </si>
  <si>
    <t>0,6
Gegevens 2020</t>
  </si>
  <si>
    <t>Visvriendelijk beheer Marknessersluis: +0,01 EKR</t>
  </si>
  <si>
    <t>Volgens de eigen methode wordt een EKR van 0,61 verwacht. De KRW-verkenner berekent eveneens een kleine verbetering in toestand. De toestand in 2025 is iets hoger dan die in 2019. Rekening houdend met de onzekerheidsmarge van 0,03 EKR, wordt het GEP daarom bijgesteld tot 0,58 EKR.</t>
  </si>
  <si>
    <t>NVO's 8,5 km in 2020. Visvriendelijk sluisbeheer Marknessersluis</t>
  </si>
  <si>
    <t>NVO's  8,5 km in 2020 +0,02 EKR. Achterstallig onderhoud: +0,02 EKR. Aanleg vispassage gemaal Vissering en visvriendelijke sluisbeheer Marknessersluis: +0,03 EKR</t>
  </si>
  <si>
    <t xml:space="preserve">De eigen methode verwacht een EKR van 0,75. De KRW-verkenner berekent eveneens een EKR dat groter is dan 0,60. Ook de toestand 2025 is veel hoger dan 0,60 EKR. Indien rekening wordt gehouden met de onzekerheidsmarge van 0,03 EKR, blijft het  GEP hoger dan 0,60 EKR en blijft daarom ongewijzigd. </t>
  </si>
  <si>
    <t>Uitvoeren achterstallig onderhoud: +0,02 EKR. Vispassage gemaal De Blocq van Kuffeler: +0,03 EKR (eigen correctie inschatting ATKB)</t>
  </si>
  <si>
    <t>De eigen methode verwacht een EKR van 0,59. De KRW-verkenner berekent nauwelijks een verandering in toestand. Rekening houdend met de onzekerheidsmarge van 0,03 EKR, wordt het GEP daarom bijgesteld tot 0,56 EKR.</t>
  </si>
  <si>
    <t>Uitvoeren achterstallig onderhoud :+0,02 EKR. Vispassage gemaal De Blocq van Kuffeler: +0,03 EKR (eigen correctie inschatting ATKB)</t>
  </si>
  <si>
    <t>0,45
Gegevens 2025</t>
  </si>
  <si>
    <t xml:space="preserve">Volgens de eigen methode wordt een EKR van 0,50 verwacht. De KRW-verkenner berekent een zeer geringe achteruitgang. Recente monitoringdata (2025) laten een toestand zien van 0,45 EKR (geen verandering t.o.v.  het toestandsoordeel 2019). Rekening houdend met de onzekerheidsmarge van 0,03 EKR, wordt het GEP bijgesteld tot 0,47 EKR. </t>
  </si>
  <si>
    <t>Geen maatregelen</t>
  </si>
  <si>
    <t>0,34 (Gegevens 2019)</t>
  </si>
  <si>
    <t>0,48
Gegevens 2025</t>
  </si>
  <si>
    <t>Volgens de eigen methode wordt een EKR van 0,34 verwacht. De KRW-verkenner berekent een verbetering in toestand. Recente monitoringsdata (2025) laten een forse toename zien t.o.v. het toestandsoordeel 2019. Alhoewel dit een positieve ontwikkeling is, wordt hier gelet op het beperkte aantal monitoringresultaten (1x/6jaar) voor GEP4 nog geen rekening mee gehouden. Als de trend doorzet, kan dit wel voor SGBP5. Rekening houdend met een onzekerheidsmarge van 0,03 EKR wordt het GEP bijgesteld tot 0,31 EKR.</t>
  </si>
  <si>
    <t>Visstandbeheer, peilbeheer, baggeren: +0,05 EKR</t>
  </si>
  <si>
    <t>De plas is grotendeels droogvallen tijdens de droge 's zomers de laatste jaren. Omdat dit voor de natuurdoelen, die gericht zijn op watervogels, ongewenst is, onderzoekt Natuurmonumenten momenteel wat de ontwikkelingspotenties van het gebied zijn. Daarom is afgesproken het GEP vooralsnog  niet te wijzigen.</t>
  </si>
  <si>
    <t>0,62
Gegevens 2019</t>
  </si>
  <si>
    <t>0,72
Gegevens 2025</t>
  </si>
  <si>
    <t>Aanleg NVO's: +0,05 EKR. Aanleg vispassage gemaal De Blocq van Kuffeler: +0,01 EKR</t>
  </si>
  <si>
    <t>Volgens de eigen methode wordt een EKR verwacht van 0,60. De KRW-verkenner berekent echter geen verandering van de toestand. De toestand in 2025 laat geen verbetering zien omdat de NVO's nog niet in de monitoring betrokken zijn. Rekening houdend met de onzekerheidsmarge van 0,03 EKR wordt het GEP bijgesteld naar 0,57 EKR.</t>
  </si>
  <si>
    <t>0,12
Gegevens 2010</t>
  </si>
  <si>
    <t>Niet berekend</t>
  </si>
  <si>
    <t>Het Vollenhovermeer maakt deel uit van het Natura 2000 gebied Wieden-Weerribben. Langs de oostoever van het Vollehovermeer worden maatregelen in de rietzone genomen om het biotoop weer geschikter te maken voor de Grote Karekiet. In dit kader worden o.a. slenken gegraven, die ook een positieve invloed kunnen hebben op vis. Met de beheerder Natuurmonumenten is afgesproken het GEP voor dit gebied vooralsnog niet te wijzigen.</t>
  </si>
  <si>
    <t>0,45
Alleen data 2013. Volgende monitoring vond pas in 2020 plaats.</t>
  </si>
  <si>
    <t>Volgens de eigen methode wordt een EKR verwacht van 0,49. De KRW-verkenner berekent geen verandering van de toestand. Recente monitoringdata (2025) laten een forse toename zien t.o.v. die in 2019 ondanks dat de NVO's nog niet in de monitoring betrokken zijn. Alhoewel dit een positieve ontwikkeling is, wordt hier gelet op het beperkte aantal monitoringresultaten (1x/6jaar) voor GEP4 nog geen rekening mee gehouden. Als de trend doorzet, kan dit wel voor SGBP5. Rekening houdend met de onzekerheidsmarge van 0,03 EKR zou het GEP naar beneden bijgesteld moeten worden naar 0,46 EKR.  Door de fors hogere toestand in 2025,  is er voor gekozen het GEP niet aan te passen.</t>
  </si>
  <si>
    <t>BRONNENSTUDIE WENR; EIGEN OPDRACHT ZUIDERZEELAND</t>
  </si>
  <si>
    <t>STIKSTOF, Relatieve bijdrage bronnen (som = 1)</t>
  </si>
  <si>
    <t>Variant met directe kwel</t>
  </si>
  <si>
    <t>ZOMERGEMIDDELDE, 2010-2016</t>
  </si>
  <si>
    <t>ZOMERGEMIDDELDE, 2017-2022</t>
  </si>
  <si>
    <t>totaal</t>
  </si>
  <si>
    <t>Totaal</t>
  </si>
  <si>
    <t>Vaarten Lage afdeling ZOF</t>
  </si>
  <si>
    <t>JAARGEMIDDELDE, 2010-2016</t>
  </si>
  <si>
    <t>JAARGEMIDDELDE, 2017-2022</t>
  </si>
  <si>
    <t>Selectielijst:</t>
  </si>
  <si>
    <t>2010-2016</t>
  </si>
  <si>
    <t>2017-2022</t>
  </si>
  <si>
    <t>Rij nr.</t>
  </si>
  <si>
    <t>FOSFOR, relatieve bijdrage bronnen (som = 1)</t>
  </si>
  <si>
    <t>Concentratie fosfor</t>
  </si>
  <si>
    <t>Concentratie stikstof</t>
  </si>
  <si>
    <t>Concentratie chloride</t>
  </si>
  <si>
    <t>Zuurstofverzadigingspercentage</t>
  </si>
  <si>
    <t>Voorstel GEP 2033</t>
  </si>
  <si>
    <t>ESF1 Productiviteit water</t>
  </si>
  <si>
    <t>Waarde</t>
  </si>
  <si>
    <t>Het water is matig voedselrijk; de concentraties totaal-stikstof en totaal-fosfor voldoen aan de normen. Vanuit veldervaring is bekend dat er geen dominantie van algen is.</t>
  </si>
  <si>
    <t>Geen reden voor wijziging.</t>
  </si>
  <si>
    <t>Geen veranderingen verwacht.</t>
  </si>
  <si>
    <t>Totaal-stikstof en totaal-fosfor voldoen aan de normen. Voor zover bekend is er geen sprake van een sterke algengroei.</t>
  </si>
  <si>
    <t>Geen oordeel, nieuw waterlichaam voor SGBP4 door opsplitsing van Tochten DE</t>
  </si>
  <si>
    <t xml:space="preserve">Het water is matig voedselrijk; de concentraties totaal-stikstof en totaal-fosfor voldoen aan de (voorlopige) normen. </t>
  </si>
  <si>
    <t>Het gehalte aan nutriënten is in delen van het waterlichaam hoog. Dit hangt samen met een verhoogde achtergrondconcentratie van stikstof en fosfor.</t>
  </si>
  <si>
    <t>Het totaal-stikstofgehalte is verhoogd. Totaal-fosfor voldoet aan de norm. Dit wordt vooral veroorzaakt door de hoge achtergrondbelasting.</t>
  </si>
  <si>
    <t>Geen reden voor wijziging, totaal-stikstof is van nature verhoogd.</t>
  </si>
  <si>
    <t>Totaal-fosfor voldoet aan de norm, totaal-stikstof niet. Ongeveer de helft van het waterlichaam wordt doorgespoeld met water uit de Hoge Vaart (voor de fruitteelt). De invloed van nutriëntrijke kwel is daar minder groot, in de niet-doorspoelde delen is het water voedselrijker.</t>
  </si>
  <si>
    <t>Waterlichaam is herbegrensd. Totaal-fosfor en totaal-stikstof voldoen aan de geactualiseerde normen. Deze komen overeen met de defaultnormen.</t>
  </si>
  <si>
    <t>Er zijn hoge concentraties aan nutriënten. Totaal-fosfor en totaal-stikstof voldoen beide niet aan de norm, die al hoger is dan de defaultnorm voor dit watertype. Dit wordt veroorzaakt door een hoge achtergrondbelasting.</t>
  </si>
  <si>
    <t xml:space="preserve">Waterlichaam is herbegrensd. Totaal-fosfor en totaal-stikstof zijn van nature verhoogd. </t>
  </si>
  <si>
    <t>Totaal-fosfor voldoet aan de defaultnorm. Totaal-stikstof is van nature verhoogd.</t>
  </si>
  <si>
    <t>Totaal-stikstof is van nature verhoogd.</t>
  </si>
  <si>
    <t>De hoge achtergrondbelasting is een systeemkenmerk en niet op te lossen. Dit knelpunt blijft bestaan.</t>
  </si>
  <si>
    <t>De totaal-fosfor en totaal-stikstofgehaltes voldoen aan de norm. Daarnaast is het water troebel door het hoge ijzergehalte, waardoor de groei van algen beperkt is.</t>
  </si>
  <si>
    <t xml:space="preserve">De totaal-fosfor en totaal-stikstofgehaltes voldoen aan de norm voor dit watertype. </t>
  </si>
  <si>
    <t>Nutriënten voldoen aan de normen. Er is geen overmatige groei van algen, flab of kroos.</t>
  </si>
  <si>
    <t>Nutriënten voldoen aan de normen, maar het totaal-fosforgehalte zit tegen de grens aan. De abundantie (hoeveelheid) algen scoort matig. De productiviteit als belasting (toevoer P per m2 per dag) is waar-schijnlijk te hoog.</t>
  </si>
  <si>
    <t>De huidige belasting is lager dan de kritische belasting voor omslag van helder naar troebel en ligt in de buurt van de kritische belasting voor omslag van troebel naar helder (Witteveen + Bos, 2016).</t>
  </si>
  <si>
    <t xml:space="preserve">De nutriënten nalevering vanuit sulfaatgestuurde bodem processen is sterk dalende. Het oppervlaktewater heeft in de loop van 25 jaar zéér lage sulfaatconcentrtaies (23-44 mg S04/l). De enkele millimeters dikke interactieve laag van de waterbodem met het bovenstaande oppervlaktwater zal vanuit natuurlijke diffusie deze concentratie verschillen opheffen, waardoor inmiddels sulfaatbeperking de nalevering met nutriënten sterk is gereduceerd.     </t>
  </si>
  <si>
    <t>De totaal-fosfor en totaal-stikstof overschrijden de (nieuwe) normen in ruime mate. Belangrijkste reden voor de hoge totaal-belasting zijn uitwerpselen van vogels en de nalevering vanuit de waterbodem. De abundantie van algen scoort matig.</t>
  </si>
  <si>
    <t>Geen oordeel. Harderbroek is gebaggerd, vrijwel alle (bodem)woelende vis is verwijderd. Maar gebied staat nog grotendeels droog.</t>
  </si>
  <si>
    <t>Verwachting is dat gebied nadat het weer watervoerend is, zich ontwikkelt tot een helder en plantenrijk systeem.</t>
  </si>
  <si>
    <t>De totaal-fosforbelasting ligt boven de kritische waarde. In het water overschrijdt totaal-fosfor de norm. Ditzelfde geldt voor de totaal-stikstofgehaltes. De belangrijkste bron van totaal- fosfor zijn watervogels.</t>
  </si>
  <si>
    <t>Geen veranderingen verwacht, zonder ingrijpende maatregelen in het gebied.</t>
  </si>
  <si>
    <t>Ondanks de hoge nutriëntenconcentraties is het water helder en zijn de algenconcentraties relatief laag in het nieuw begrensde waterlichaam. De verblijftijd is waarschijnlijk hoog; de belasting (toevoer van nutriënten) is daarom waarschijnlijk laag. De productiviteit van het water lijkt geen knelpunt te vormen.</t>
  </si>
  <si>
    <t>Geen veranderingen verwacht, zo lang geen duidelijkheid is over maatregelen in het kader van het PAGW-project Oostvaardersoevers.</t>
  </si>
  <si>
    <t xml:space="preserve">De concentraties van totaal-fosfor en totaal-stikstof zijn laag, en voldoen aan de Flevolandspecifieke nutriëntennormen. </t>
  </si>
  <si>
    <t>Niet geanalyseerd.</t>
  </si>
  <si>
    <t>De Oostvaardersplassen maken deel uit van het PAGW-project  Oostvaardersoevers. Besluitvorming over dit project wordt  pas na 2027 verwacht. Ook dan is pas duidelijk wat de consequenties zijn voor de natuurontwikkelingsdoelen (en maatregelen) voor dit gebied.</t>
  </si>
  <si>
    <t>De gehalten aan totaal-fosfor zijn laag. Totaal-stikstof voldoet niet aan norm, maar het systeem is (waarschijnlijk) P-gelimiteerd. Er is geen overmatige groei van algen.</t>
  </si>
  <si>
    <t>Het totaal-stikstofgehalte is verhoogd</t>
  </si>
  <si>
    <t>Aanname is dat in 2033 aan de totaal-stikstof norm wordt voldaan.</t>
  </si>
  <si>
    <t>De concentraties van totaal-stikstof en totaal-fosfor zijn laag, en voldoen aan de Flevoland-specifieke normen. Er is geen overmatige groei van algen.</t>
  </si>
  <si>
    <t>ESF2 Lichtklimaat</t>
  </si>
  <si>
    <t>Het doorzicht is goed. Er valt voldoende licht op de bodem van de watergang voor de ontwikkeling van ondergedoken vegetatie.</t>
  </si>
  <si>
    <t>Het doorzicht is op de meetpunten gemiddeld goed. Bekend is dat het doorzicht in andere delen van het waterlichaam minder is, maar er valt nog genoeg licht op de bodem voor de ontwikkeling van ondergedoken waterplanten.</t>
  </si>
  <si>
    <t>In grote delen van het waterlichaam is er troebel water en komt er onvoldoende licht op de bodem voor de ontwikkeling van waterplanten.</t>
  </si>
  <si>
    <t>Er valt niet overal voldoende licht op de bodem. Dit is met name in het westelijk gebiedsdeel met ijzerarme kwel het geval. In het deel waar wegzijging optreedt, is het doorzicht beter.</t>
  </si>
  <si>
    <t>Het doorzicht is goed. Een deel van de wateren, de niet-doorspoelde delen, is bruin gekleurd, maar ook daar komen ondergedoken waterplanten volop tot ontwikkeling.</t>
  </si>
  <si>
    <t>Het doorzicht is gering. Dit komt mogelijk door troebeling door ijzerverbindingen. Er zijn weinig ondergedoken waterplanten.</t>
  </si>
  <si>
    <t>Het doorzicht is gering. Er groeien niet veel ondergedoken waterplanten. De is mede te wijten aan de hoge ijzergehaltes die van nature aanwezig is in delen van het gebied.</t>
  </si>
  <si>
    <t>Geen reden voor wijziging. Verder te onderzoeken aan de hand van doorzichtdata.</t>
  </si>
  <si>
    <t>Het water is van nature rijk aan ijzer (afkomstig uit kwel) en daardoor troebel. Een deel van het waterlichaam wordt echter doorgespoeld. In die gevallen wordt het water helderder.</t>
  </si>
  <si>
    <t>Het doorzicht op de meetpunten voldoet net aan de norm, maar er zijn ook delen van de vaarten waar het water van nature troebel is.</t>
  </si>
  <si>
    <t>Geen reden voor wijziging. Wel grote variatie in doorzicht tussen de verschillende vaarten in de Noordoostpolder. Nog uitzoeken wat het doorzicht is per vaart (Urkervaart, Lemstervaart, Marknesservaart).</t>
  </si>
  <si>
    <t>Het water is helder. In ieder geval bij de NVO’s, maar ook op delen van de bodem langs de oever valt voldoende licht voor de ontwikkeling van ondergedoken waterplanten.</t>
  </si>
  <si>
    <t>Het doorzicht was vroeger slecht, maar is de laatste jaren verbeterd. In de ondiepe zones en bij NVO’s valt er voldoende licht op de bodem voor de ontwikkeling van ondergedoken vegetatie.</t>
  </si>
  <si>
    <t>Op meer dan 70% van de bodem valt voldoende licht voor de ontwikkeling van ondergedoken waterplanten. De beschikbare nutriënten worden vanaf het voorjaar vastgelegd door waterplanten (Witteveen + Bos, 2016)</t>
  </si>
  <si>
    <t>Zeer gering doorzicht. Ondanks beperkte waterdiepte waarschijnlijk onvoldoende licht op de bodem. De belangrijkste oorzaak is de om-woeling van de bodem door de zeer grote hoeveelheid karpers. Daar komt bij dat het water ondiep is en door wind en golven bodemslib gemakkelijk wordt opgewerveld.</t>
  </si>
  <si>
    <t>Aangenomen is dat het gebied nadat het weer watervoerend is, zich conform het doel ontwikkelt tot een helder en plantenrijk systeem.</t>
  </si>
  <si>
    <t>Er is een zeer gering doorzicht. Ondanks de beperkte waterdiepte valt er waarschijnlijk onvoldoende licht op de bodem. De oorzaak zijn de omwoeling van de bodem door karpers en de (wind)opwerveling op de ondiepe delen door vogels.</t>
  </si>
  <si>
    <t>Het doorzicht bedraagt gemiddeld 60 cm. Op de delen van de plas die tot 1 meter diep zijn, valt voldoende licht voor de ontwikkeling van waterplanten.</t>
  </si>
  <si>
    <t>Geen reden voor wijziging</t>
  </si>
  <si>
    <t xml:space="preserve">Het water is helder. Waterplanten komen voor tot een diepte van bijna 6 m. </t>
  </si>
  <si>
    <t xml:space="preserve">De Oostvaardersplassen maken deel uit van het PAGW-project  Oostvaardersoevers. Besluitvorming over dit project wordt pas na 2027 verwacht. Ook dan is pas duidelijk wat de consequenties zijn voor de natuurontwikkelingsdoelen (en maatregelen) voor dit gebied. </t>
  </si>
  <si>
    <t>Het water is helder. In de ondiepe delen is vaak bodemzicht, in de vaargeul door de diepte niet.</t>
  </si>
  <si>
    <t>Het water is helder. Er zijn voldoende ondiepe delen waar licht op de bodem valt en waar ondergedoken vegetatie tot ontwikkeling kan komen. Waterplanten komen tot ontwikkeling tot dieptes van bijna 7 m.</t>
  </si>
  <si>
    <t>ESF3 Productiviteit bodem</t>
  </si>
  <si>
    <t>In de bodem is klei en/of veen aanwezig; dit is gemiddeld voedselrijker materiaal dan zand (dat overigens op 1 meter diepte aanwezig is). In sommige tochten is sprake van dominantie van één voedselrijke soort, zoals Gedoornd hoornblad.</t>
  </si>
  <si>
    <t>Geen  veranderingen verwacht.</t>
  </si>
  <si>
    <t>De bodem bestaat uit zanderige klei met daaronder zand. Klei is van nature voedselrijk.</t>
  </si>
  <si>
    <t>In de bodem is lichte klei met in enkele delen zavel en aan de randen zand aanwezig.</t>
  </si>
  <si>
    <t>Aan de randen van Almere komt zand aan het oppervlak</t>
  </si>
  <si>
    <t>De bodem bestaat voornamelijk uit klei en zanderige klei. In het meest noordelijke deel bestaat de bodem op 1 m-mv. uit zand en veen. Klei is van nature voedselrijk. Daar komt nog bij dat er in delen van het gebied sprake is van voedselrijke kwel.</t>
  </si>
  <si>
    <t>De bodem bestaat uit zanderige klei. Dit is van nature voedselrijk. Daarnaast is in de niet doorstroomde delen sprake van voedselrijke kwel.</t>
  </si>
  <si>
    <t>De bodem bestaat uit zanderige klei. Op 1 m-mv komt lokaal ook veen voor. Dit is van nature voedselrijk. Daar komt nog bij dat er sprake is van voedselrijke kwel.</t>
  </si>
  <si>
    <t>De bodem bestaat voor een groot deel uit zanderige klei. In delen komt ook veen en zand voor. Dit is van nature voedselrijk. Daarnaast is er sprake is van voedselrijke kwel.</t>
  </si>
  <si>
    <t>De bodem bestaat uit klei, zanderige klei en lokaal uit zand, waardoor deze van nature voedselrijk is. Er zijn ook delen met een zand/zavelbodem.</t>
  </si>
  <si>
    <t>De bodem bestaat deels uit zand/zavel en deels uit klei. De bodem is dus van nature voedselrijk. Daarnaast is er vrijwel overal sprake van voedselrijke kwel. Ook ligt er veel slib.</t>
  </si>
  <si>
    <t>De bodem in het noordoostelijke deel bestaat uit zand, in het zuidwestelijke deel bestaat de bodem uit klei en veen. De kwel in het noordelijke deel is relatief schoon, de kwel in de zuidelijke helft is voedselrijker.</t>
  </si>
  <si>
    <t>De bodem bestaat deels uit klei, zanderige klei en deels ook uit veen. Er is onlangs gebaggerd.</t>
  </si>
  <si>
    <t>De bodem bevat veel fosfor. Vanaf de (na)zomer vindt afbraak plaats en ontstaat zuurstofloosheid in en langs de bodem. Het fosfor, dat was vastgelegd door ijzer, komt nu vrij. Door de aanwezigheid van sulfaat in de bodem kan de mineralisatie ook bij zuurstofarme condities doorgaan. Nutriënten blijven vrijkomen. In de (na)zomer vindt hierdoor een omslag plaats van waterplanten naar algen (Witteveen + Bos, 2016).</t>
  </si>
  <si>
    <t>De bodem en het slib bevatten veel fosfor. Bij lage zuurstofgehaltes bij de bodem, maar ook bij stijging van de pH, kan het fosfor, dat was vastgelegd door ijzer, vrijkomen (Van Diggelen &amp; Smolders, 2020).</t>
  </si>
  <si>
    <t xml:space="preserve">Alhoewel de bagger is verwijderd, zal de onderliggende bodem (zavel) van nature niet voedselarm zijn. </t>
  </si>
  <si>
    <t xml:space="preserve">Geen veranderingen verwacht. </t>
  </si>
  <si>
    <t>De bodem bestaat uit klei, die voor aanleg van de plas in landbouw-kundig gebruik is geweest.</t>
  </si>
  <si>
    <t>Waarschijnlijk is er sprake van een voedselrijke bodem. Dit betekent dat als er vegetatie tot ontwikkeling komt, er kans is op woekering van één of enkele soorten.</t>
  </si>
  <si>
    <t>Dit waterlichaam is een voormalige zandwinput, maar is later deels weer volgestort met o.a. klei. In de begroeibare delen is er dus sprake van een voedselrijke bodem.</t>
  </si>
  <si>
    <t>De bodem bestaat voornamelijk uit zand. Er ligt in het merendeel van de ondiepe delen geen of weinig slib.</t>
  </si>
  <si>
    <t>Het meer betreft een voormalige zandwinput. De bodem bestaat uit zand en is niet voedselrijk.</t>
  </si>
  <si>
    <t>ESF4 Habitat</t>
  </si>
  <si>
    <t>50% van de oevers is duurzaam of natuurvriendelijk ingericht (situatie 2018). De oeverinrichting vormt geen knelpunt meer. Er is een vast peil, maar bij de doelstelling (default GEP) is daar rekening mee gehouden.</t>
  </si>
  <si>
    <t>Het van nature verhoogde ijzergehalte in delen van het waterlichaam  is een kenmerk van het waterlichaam. Het areaal duurzame oevers zal door vervanging bij beheer en onderhoud verder toenemen. Peilbeheer zal echter geen grote veranderingen ondergaan.</t>
  </si>
  <si>
    <t>Circa 50% van de oevers is inmiddels duurzaam of natuurvriendelijk ingericht (situatie 2018). De oeverinrichting vormt geen knelpunt meer. Er is een vast peil, maar bij de doelstelling (default GEP) is daar rekening mee gehouden.</t>
  </si>
  <si>
    <t>Het van nature verhoogde ijzergehaltein delen van het waterlichaam is een kenmerk. Het areaal duurzame oevers zal door vervanging bij beheer en onderhoud verder toenemen. Peilbeheer zal echter geen grote veranderingen ondergaan.</t>
  </si>
  <si>
    <t xml:space="preserve">Delen van het opgesplitste waterlichaam zijn voorzien van duurzame oevers. Het areaal duurzame oevers zal door vervanging bij beheer en onderhoud verder toenemen. Er is een vast peil, maar bij de doelstelling (GEP) wordt daar rekening mee gehouden. </t>
  </si>
  <si>
    <t xml:space="preserve">Geen veranderingen verwacht. Areaal natuurvriendelijke oevers zal toenemen voor aanleg natuurvriendelijke oeverzones in stedelijk gebied (o.a langes de Galjoottocht). </t>
  </si>
  <si>
    <t>Het van nature verhoogde ijzergehalte is een kenmerk delen van het waterlichaam. Delen van het opgesplitste waterlichaam zijn voorzien van duurzame oevers. Het areaal duurzame oevers zal door vervanging bij beheer en onderhoud verder toenemen. Er is een vast peil, maar bij de doelstelling (GEP) wordt daar rekening mee gehouden.</t>
  </si>
  <si>
    <t>Geen reden voor wijziging, areaal duurzame oevers zal door vervanging bij beheer en onderhoud verder toenemen. Peilbeheer zal echter geen grote veranderingen ondergaan.</t>
  </si>
  <si>
    <t>Circa 34% van de oevers is duurzaam of natuurvriendelijk ingericht (situatie 2018). Dit is slechts 6% van de totaalopgave van 40% verwijderd. In 2021 is 40% van de oevers heringericht. De oeverinrichting vormt geen knelpunt meer. Er is een vast peil, maar bij de landelijke doelstellingen default GEP) is daar rekening mee gehouden.</t>
  </si>
  <si>
    <t>Het van nature verhoogde ijzergehalte is een kenmerk in delen van het waterlichaam. Het areaal duurzame oevers zal door vervanging bij beheer en onderhoud verder toenemen. Peilbeheer zal echter geen grote veranderingen ondergaan.</t>
  </si>
  <si>
    <t xml:space="preserve">Als gevolg van de stedelijke ontwikkeling van Almere rond de Kievitstocht wordt deze deels omgelegd,wordt het peil in delen opgezet en  worden er aan weerszijden langs delen van de omgelegde tocht natuurvriendlijke oevers  aangelegd en komen er vispassages. </t>
  </si>
  <si>
    <t>Meer dan 40% van de oevers is duurzaam of natuurvriendelijk ingericht (situatie 2018). De oeverinrichting vormt geen knelpunt meer. Er is een vast peil, maar bij het default GEP is daar rekening mee gehouden.</t>
  </si>
  <si>
    <t>Het van nature verhoogde ijzergehalte in delen van het waterlichaam is een kenmerk. Het areaal duurzame oevers zal door vervanging bij beheer en onderhoud verder toenemen. Peilbeheer zal echter geen grote veranderingen ondergaan.</t>
  </si>
  <si>
    <t>Circa 34% van de oevers is duurzaam of natuurvriendelijk ingericht (situatie 2018). In 2021 zal de totale opgave van 40% gerealiseerd zijn. De oeverinrichting vormt dan geen knelpunt meer. Het water is rijk aan ijzer, chloride en ammonium, afkomstig uit kwel. Periodiek zijn er lage zuurstofgehaltes. Er is een vast peil, maar bij het landelijk default GEP is daar rekening mee gehouden.</t>
  </si>
  <si>
    <t>De van nature verhoogde ijzer- en chloridegehaltes en periodiek soms lage zuurstofgehaltes zijn kenmerken van het waterlichaam.</t>
  </si>
  <si>
    <t>Meer dan 50% van de oevers is duurzaam of natuurvriendelijk ingericht (situatie 2018). De oeverinrichting vormt geen knelpunt meer. Er is een vast peil, maar bij het default GEP is daar rekening mee gehouden. Het water is rijk aan ijzer, chloride en ammonium, afkomstig uit kwel. Dit leidt periodiek tot een laag zuurstofgehalte.</t>
  </si>
  <si>
    <t>Circa 49% van de oevers is duurzaam of natuurvriendelijk ingericht (situatie 2018). De oeverinrichting vormt geen knelpunt meer. Er is een vast peil, maar bij het default GEP is daar rekening mee gehouden. Het water is rijk aan ijzer, afkomstig uit kwel. Dit vormt lokaal een knelpunt.</t>
  </si>
  <si>
    <t>Het van nature verhoogde ijzergehalte in een deel van het waterlichaam is een kenmerk.</t>
  </si>
  <si>
    <t>De oevers zijn deels beschoeid of hebben een damwand, maar er zijn ook veel NVO’s (40% oeverlengte) aangelegd, die verschillen in ecologische potentie. Er is een vast peil en scheepvaart, maar bij het default GEP is daar rekening mee gehouden.</t>
  </si>
  <si>
    <t>Het van nature verhoogde ijzergehalte is een kenmerk van het waterlichaam. Er is sprake van achterstallig onderhoud van de natuurvriendelijke oevers waardoor ze verlanden.</t>
  </si>
  <si>
    <t>Er is van uitgegaan dat het achterstallige onderhoud is uitgevoerd.</t>
  </si>
  <si>
    <t>De oevers zijn deels beschoeid of hebben een damwand, maar er zijn ook veel NVO’s (40%) aangelegd. De oevers functioneren ecologisch goed. Er is een vast peil en er is scheepvaart, maar bij het default GEP is daar rekening mee gehouden.</t>
  </si>
  <si>
    <t>Er is sprake van achterstallig onderhoud van de natuurvriendelijke oevers waardoor ze verlanden.</t>
  </si>
  <si>
    <t>De oevers zijn deels beschoeid of hebben een damwand, maar er zijn ook veel NVO’s aangelegd, die verschillen in ecologische potentie. Er is een vast peil en er is scheepvaart, maar bij het default GEP is met de effecten van beide beïnvloedingen rekening gehouden. Het water heeft wel een grote variatie in chloridegehaltes.</t>
  </si>
  <si>
    <t>Er is onvoldoende zachte oever aanwezig (langs Knardijk liggen doorgroeibare betonmatten en langs Oostvaardersdijk ligt steenstort met rietbegroeiing). Het peil is flexibel binnen randvoorwaarden voor woonbebouwing (maximale fluctuatie 15 cm), maar is onvoldoende om te spreken van een natuurlijk peilbeheer; het areaal oever dat kan inunderen/droogvallen is beperkt.</t>
  </si>
  <si>
    <t>De inrichting van de oevers is goed (natuurlijke, geen verharde oevers), maar de peilvariatie is te gering. Rietpollen met steile randen. Te weinig inundaties.</t>
  </si>
  <si>
    <t xml:space="preserve">Aangenomen is dat door het instellen van een natuurlijker peilverloop en het verwijderen van de bagger en de karper, water- en oevervegetatie zich beter gaan ontwikkelen. </t>
  </si>
  <si>
    <t>De inrichting van de oevers is goed (natuurlijke, geen verharde oevers), maar de peilvariatie is te gering. Rietpollen met steile randen. Op de ondiepe delen in de plas komt emerse vegetatie en submerse watervegetatie door te hoge graasdruk niet/beperkt tot ontwikkeling.</t>
  </si>
  <si>
    <t xml:space="preserve">De oevers hebben een natuurlijke inrichting. </t>
  </si>
  <si>
    <t xml:space="preserve">De oevers hebben een steil profiel en zijn deels verstevigd met steenstort. Het chloridegehalte is bovendien relatief hoog. Dit hangt samen met de toestroom van brak grondwater, en is een systeemkenmerk. </t>
  </si>
  <si>
    <t>Door de aanleg van natuurvriendelijke oevers is habitatdiversiteit verbeterd. Het hoge chloridegehalte door kwel kan niet worden opgelost. Dit blijft een knelpunt.</t>
  </si>
  <si>
    <t>De Oostvaardersplassen maken deel uit van het PAGW-project  Oostvaardersoevers. Besluitvorming over dit project wordt pas na 2027 verwacht. Ook dan is pas duidelijk wat de consequenties zijn voor de natuurontwikkelingsdoelen (en maatregelen) voor dit gebied.</t>
  </si>
  <si>
    <t>Er is een grote variatie in oevervormen en habitats: een diepe vaargeul, ondiepe zones en eilandjes. Ondiep waterzones zijn ’s zomers dichtgegroeid met submerse vegetatie, maar ’s winters volledig kaal, waardoor ze een weinig gevarieerd habitat bieden voor macrofauna en vis. De rietoevers aan de oude landkant zijn voor een groot deel verland, open waterriet is beperkt aanwezig. Er zijn zachte oevers en oevers met steenstort. Geleidelijke overgangen van diep naar ondiep ontbreken. Er is een omgekeerd streefpeil (hoog in de zomer, laag in de winter), maar in de praktijk is er een grote variatie in waterstanden (circa 40 cm). Dit komt door neerslag en door opwaaiing vanuit het Zwartemeer-Ketelmeer-IJsselmeer. Bij een te hoge waterstand van het Ketelmeer wordt de balgstuw bij Ramspol gesloten.</t>
  </si>
  <si>
    <t>Vereniging Natuurmonumenten wil de verlande rietoevers aan de oostzijde herprofileren.</t>
  </si>
  <si>
    <t>De oevers zijn grotendeels steil en er is plaatselijk steenstort. Er liggen ook enkele natuurlijk ingerichte oevers.</t>
  </si>
  <si>
    <t>Door de aanleg van NVO’s is habitatdiversiteit verbeterd.</t>
  </si>
  <si>
    <t>ESF5 Verspreiding</t>
  </si>
  <si>
    <t>Volgens onderzoek ATKB vormt vismigratie een belangrijk knelpunt. Kaart vismigratie: de helft van het waterlichaam is niet bereikbaar</t>
  </si>
  <si>
    <t xml:space="preserve">Er zijn inmiddels 4 vispassages aangelegd (3 in Tochten ABC1 en 1 in Tochten ABC2). </t>
  </si>
  <si>
    <t>Volgens het onderzoek van ATKB vormt vismigratie een belangrijk knelpunt in een deel van het waterlichaam.</t>
  </si>
  <si>
    <t>Er zijn inmiddels een vispassage aangelegd in de Oldebroekertocht. Een groter deel van het waterlichaam is hierdoor bereikbaar geworden.</t>
  </si>
  <si>
    <t>Er is inmiddels een vispassage aangelegd in de Nijkerkertocht. Een groter deel van het waterlichaam is hierdoor bereikbaar geworden.</t>
  </si>
  <si>
    <t>Binnen het waterlichaam zijn er geen knelpunten met betrekking tot vismigratie.</t>
  </si>
  <si>
    <t xml:space="preserve">Geen reden voor wijziging (zie ook ESF4). </t>
  </si>
  <si>
    <t>Volgens de analyse van ATKB zijn er geen knelpunten met betrekking tot vismigratie.</t>
  </si>
  <si>
    <t>Volgens het onderzoek van ATKB zijn er geen grote knelpunten met betrekking tot vismigratie.</t>
  </si>
  <si>
    <t>Er zijn geen grote migratieknelpunten binnen het waterlichaam. De bereikbaarheid van het waterlichaam is wel een knelpunt. Zie daarvoor onder het waterlichaam Vaarten NOP.</t>
  </si>
  <si>
    <t xml:space="preserve">Er zijn inmiddels 2 vispassages aangelegd in de tochten. Daarnaast is een vispassage aangelegd bij gemaal Vissering, maar die werkt nog niet optimaal. </t>
  </si>
  <si>
    <t>Er  wordt van uitgegaan dat de vispassage bij gemaal Vissering beter gaat werken.</t>
  </si>
  <si>
    <t>Binnen het waterlichaam zijn geen knelpunten. De Marknessersluis in de provinciale hoofdvaarten vormt wel een knelpunt voor de migratie van vis. Zie waterlichaam Vaarten NOP.</t>
  </si>
  <si>
    <t>Geen reden voor wijziging. Er is een vispassage aangelegd bij gemaal Vissering, maar die werkt nog niet optimaal. De provincie is bezig met visvriendelijk sluisbeheer bij de Marknessersluis.</t>
  </si>
  <si>
    <t>Er wordt van uitgegaan dat de vispassage bij gemaal Vissering beter gaat werken, en dat de Marknessersluis visvriendelijk wordt beheerd.</t>
  </si>
  <si>
    <t>Gemaal Vissering (bij Urk) wordt in 2021 passeerbaar gemaakt voor vis. Volgens onderzoek van ATKB vormt de Marknessersluis ook nog een knelpunt voor vismigratie.</t>
  </si>
  <si>
    <t>Een vispassages is aangelegd bij gemaal Colijn. Er kan geoptimaliseerd worden door gemaal en sluis bij De Blocq van Kuffeler passeerbaar te maken.</t>
  </si>
  <si>
    <t>Geen reden voor wijziging. Er is een vispassage bij gemaal De Blocq van Kuffeler verplicht voor de KRW, maar die is nog niet aangelegd.</t>
  </si>
  <si>
    <t>Er wordt van uitgegaan dat de vispassage bij gemaal De Blocq van Kuffeler gerealiseerd is.</t>
  </si>
  <si>
    <t>Bij gemaal Colijn is een visinlaat gerealiseerd naar de Hoge Vaart, maar er is nog geen goede verbinding tussen het Markermeer en de Lage Vaart. Gemaal De Blocq van Kuffeler vormt nog een barrière voor vismigratie.</t>
  </si>
  <si>
    <t>De hevel vanaf het Markermeer en de stuw naar het Hollandse Hout zijn niet voor vis passeerbaar.</t>
  </si>
  <si>
    <t xml:space="preserve">De hevel Bovenwater is bedoeld voor de inlaat van water om te voorkomen dat het peil van de plas te ver uitzakt.  De hevel staat dus niet permanent open en biedt  tijdens inlaatperiodes hoogstens een migratieroute voor kleine vis. De hevel is niet passeerbaar voor grote vis. De stuw naar het Hollandse Hout is niet vispasseerbaar.  </t>
  </si>
  <si>
    <t>In de Pluvierentocht ligt een vorm van een vispassage (‘soort bakjes-lift), die niet goed werkt. Herkolonisatie van doelsoorten macrofyten en macrofauna is mogelijk een probleem, omdat niet zeker is dat bronpopulaties binnen overbrugbare afstand (5 km) aanwezig zijn.</t>
  </si>
  <si>
    <t>Geen reden voor wijziging, er zijn geen maatregelen genomen om de vismigratie te verbeteren.</t>
  </si>
  <si>
    <t>Vis kan vanuit het oude deel van het Harderbroek via aflaat van water het gebied bereiken. De bereikbaarheid van het oude deel is echter als onvoldoende aangemerkt. Herkolonisatie van doelsoorten macrofyten en macrofauna is mogelijk een probleem, omdat niet zeker is dat bronpopulaties binnen overbrugbare afstand (5 km) aanwezig zijn.</t>
  </si>
  <si>
    <t>Het waterlichaam is niet voor vis bereikbaar</t>
  </si>
  <si>
    <t>Er is een open verbinding met de Hoge Vaart.</t>
  </si>
  <si>
    <t>Geen veranderingen verwacht. Door de aanleg van de vispassage bij gemaal De Blocq van Kuffeler verbeteren de migratiemogelijkheden zelfs.</t>
  </si>
  <si>
    <t>Alhoewel de Oostvaardersplassen deel uitmaken  van het PAGW-project  Oostvaardersoevers en besluitvorming hierover pas na 2027 wordt verwacht, zullen de mogeljikheden voor vismigratie verbeteren door de aanleg van een vispassage bij gemaal De Blocq van Kuffeler, vispassages in de Ecozone en de reeds aangelegde vispassage in de natte graslanden.</t>
  </si>
  <si>
    <t>Het waterlichaam staat in open verbinding met het Zwartemeer-Ketelmeer-IJsselmeer</t>
  </si>
  <si>
    <t>De plas staat in open verbinding met het stedelijk gebied.</t>
  </si>
  <si>
    <t>ESF6 Verwijdering</t>
  </si>
  <si>
    <t>Er wordt niet vóór 1 juni gemaaid en maximaal 3 keer per jaar. Alleen bij de laatste maaibeurt wordt de watergang volledig gemaaid; bij eerdere maaibeurten wordt een deel van de vegetatie niet gemaaid. Er vindt waarschijnlijk geen vraat door ganzen, watervogels of rivierkreeften op grote schaal plaats.</t>
  </si>
  <si>
    <t>Geen grote veranderingen geweest. Merendeel van de tochten wordt 1-3 keer per jaar gemaaid. Enkele delen meer dan 3 keer per jaar.</t>
  </si>
  <si>
    <t>Merendeel van de tochten wordt 3 keer per jaar gemaaid, enkele delen meer 3 keer per jaar.</t>
  </si>
  <si>
    <t xml:space="preserve">De watergangen worden extensief (maximaal 1-2 keer per jaar) gemaaid. </t>
  </si>
  <si>
    <t>Het merendeel van de watergangen wordt extensief (maximaal 1-2 keer per jaar) gemaaid. Er vindt waarschijnlijk geen vraat door ganzen, watervogels of rivierkreeften op grote schaal plaats.</t>
  </si>
  <si>
    <t>De watergangen worden extensief (maximaal 1-2 keer per jaar) gemaaid. Er vindt waarschijnlijk geen vraat door ganzen, watervogels of rivierkreeften op grote schaal plaats.</t>
  </si>
  <si>
    <t>Merendeel van de tochten wordt 1-2 keer per jaar gemaaid.</t>
  </si>
  <si>
    <t>De watergangen worden deels intensief (4-5 keer per jaar) deels minder intensief (1-3 keer per jaar) gemaaid. Er vindt waarschijnlijk geen vraat door ganzen, watervogels of rivierkreeften op grote schaal plaats.</t>
  </si>
  <si>
    <t>Merendeel van de tochten wordt 3 keer per jaar gemaaid, enkele delen meer dan 3 keer per jaar.</t>
  </si>
  <si>
    <t>Omdat er weinig planten groeien, wordt er weinig gemaaid. Er vindt waarschijnlijk geen vraat door ganzen, watervogels of rivierkreeften op grote schaal plaats.</t>
  </si>
  <si>
    <t>Merendeel van de tochten wordt 1-2 keer per jaar gemaaid of  3 keer per jaar. Enkele delen tot meer dan 3 keer per jaar.</t>
  </si>
  <si>
    <t>Het merendeel van de tochten wordt 3 keer per jaar gemaaid. Sommige tochten worden wel extensiever onderhouden. Er vindt waarschijnlijk geen vraat door ganzen, watervogels of rivierkreeften op grote schaal plaats.</t>
  </si>
  <si>
    <t>Merendeel van de tochten wordt 1-3 keer per jaar gemaaid.</t>
  </si>
  <si>
    <t>Het merendeel van de tochten wordt 3 keer per jaar gemaaid. Sommige tochten worden extensiever onderhouden. Er vindt waarschijnlijk geen vraat door ganzen, watervogels of rivierkreeften op grote schaal plaats.</t>
  </si>
  <si>
    <t>Merendeel van de tochten wordt 2 keer  per jaar gemaaid, enkele delen 3 keer per jaar.</t>
  </si>
  <si>
    <t>Er wordt vrijwel niet gemaaid; alleen plaatselijk voor de recreatievaart. Er vindt waarschijnlijk geen vraat door ganzen, watervogels of rivierkreeften op grote schaal plaats. Er is wel achterstallig onderhoud van sommige NVO’s Om deze reden staat ESF Verwijdering op geel.</t>
  </si>
  <si>
    <t>Geen reden voor wijziging, het maaibeheer is niet aangepast.</t>
  </si>
  <si>
    <t xml:space="preserve">Geen reden voor wijziging, het maaibeheer is niet aangepast. </t>
  </si>
  <si>
    <t>In het verleden werd de vegetatie verwijderd door vegen, later werd de vegetatie op circa 1 m diepte geknipt. Het maaien droeg hierdoor ook bij aan de omslag van een waterplanten gedomineerd systeem naar algenbloei. Bij afbraak van het niet-verwijderde maaisel komen nutriënten vrij in het water (Witteveen + Bos, 2016). Nu wordt veel minder gemaaid, maximaal mag er circa 31 van de 134 ha (ongeveer 28% mag gemaaid worden). Er is mogelijk wel vraat door ganzen, zwanen of kreeften; het effect daarvan is waarschijnlijk gering: kranswieren komen steeds meer tot ontwikkeling.</t>
  </si>
  <si>
    <t>Geen reden voor wijziging, het maaibeheer  is vrijwel onveranderd.</t>
  </si>
  <si>
    <t>Er vindt geen maaibeheer plaats. Er is wel veel vraat door vogels. De karpers belemmeren door hun fourageergedrag de ontwikkeling van de watervegetatie.</t>
  </si>
  <si>
    <t>Aangenomen is dat het gebied weer onder water staat, karpers zijn verwijderd (geen/miner bodemwoeling), maar dat vraat door vogels niet is uit te sluiten.</t>
  </si>
  <si>
    <t>Er vindt geen maaibeheer plaats. Er is wel veel vraat door vogels</t>
  </si>
  <si>
    <t>Er vindt geen maaibeheer plaats. Vraat door vogels is waarschijnlijk beperkt.</t>
  </si>
  <si>
    <t xml:space="preserve">Er wordt wel gemaaid, maar slechts circa 10% van het begroeibaar areaal. </t>
  </si>
  <si>
    <t>De Oostvaardersplassen maken deel uit van het PAGW-project  Oostvaardersoevers. Besluitvorming over dit project wordt op  pas na 2027 verwacht. Ook dan is pas duidelijk wat de consequenties zijn voor de natuurontwikkelingsdoelen (en maatregelen) voor dit gebied.</t>
  </si>
  <si>
    <t>Er wordt niet gemaaid. Mogelijk is er wel vraat door watervogels of door rivierkreeften. Het effect op de vegetatie is echter beperkt.</t>
  </si>
  <si>
    <t>Er wordt wel gemaaid, maar slechts 14% van het begroeibaar areaal. Mogelijk is er wel vraat door rivierkreeften. Het effect daarvan is onbekend.</t>
  </si>
  <si>
    <t>ESF7 Organische belasting</t>
  </si>
  <si>
    <t>Er zijn geen relevante bronnen van organische stof. Het zuurstofgehalte voldoet aan de norm.</t>
  </si>
  <si>
    <t>De macrofaunalevensgemeenschap duidt op stilstaand tot langzaam stromend eutroof water met, afhankelijk van het monsterpunt, een matige tot goede zuurstofhuishouding en een (redelijk) hoge organische belasting.</t>
  </si>
  <si>
    <t>De macrofaunalevensgemeenschap duidt op stilstaand tot langzaam stromend eutroof water met, afhankelijk van het monsterpunt, een matige tot goede zuurstofhuishouding en een matig hoge organische belasting.</t>
  </si>
  <si>
    <t>De macrofaunalevensgemeenschap duidt op stilstaand eutroof water met een redelijke zuurstofhuishouding en een matige tot redelijk hoge organische belasting.</t>
  </si>
  <si>
    <t>De macrofaunalevensgemeenschap duidt op stilstaand eutroof water met, afhankelijk van monsterpunt, een matige tot veelal een (redelijk) goede zuurstofhuishouding en een matige tot veelal een  (redelijk) hoge organische belasting.</t>
  </si>
  <si>
    <t>De macrofaunalevensgemeenschap duidt op stilstaand tot langzaam stromend eutroof water met, afhankelijk van monsterpunt, een slechte tot (redelijk) goede zuurstofhuishouding en een matige tot veelal hoge organische belasting.</t>
  </si>
  <si>
    <t>Er zijn geen relevante bronnen van organische stof. Het zuurstofgehalte voldoet aan de norm</t>
  </si>
  <si>
    <t>De macrofaunalevensgemeenschap duidt op stilstaand tot langzaam stromend eutroof water met, afhankelijk van monsterpunt, een (redelijk) goede zuurstofhuishouding en een redelijk hoge tot zeer veelal hoge organische belasting.</t>
  </si>
  <si>
    <t>De macrofaunalevensgemeenschap duidt op stilstaand tot langzaam stromend eutroof water met, afhankelijk van het monsterpunt,  een slechte tot redelijk goede zuurstofhuishouding en een redelijk  hoge tot zeer hoge organische belasting. Macrofaunasoorten die een hoge saprobie indiceren domineren.</t>
  </si>
  <si>
    <t xml:space="preserve">De macrofaunalevensgemeenschap duidt op stilstaand tot langzaam stromend eutroof water met, afhankelijk van het monsterpunt,  een slechte tot (redelijk) goede zuurstofhuishouding en een veelal redelijk  hoge tot zeer hoge organische belasting. </t>
  </si>
  <si>
    <t xml:space="preserve">De macrofaunalevensgemeenschap duidt op stilstaand tot langzaam stromend eutroof water met, afhankelijk van het monsterpunt,  een matige tot (redelijk) goede zuurstofhuishouding en een matige tot hoge organische belasting. </t>
  </si>
  <si>
    <t>Het effluent van AWZI Tollebeek loost op de Urkervaart. Dit levert echter geen probleem voor de zuurstof- en nutriëntenhuishouding.</t>
  </si>
  <si>
    <t>De macrofaunalevensgemeenschap duidt op stilstaand tot langzaam stromend water met een matige tot (redelijk) goede zuurstofhuishouding en een matig hoge tot hoge organische belasting. De Urkervaart scoort verhoudingswijs het slechtst, de Zwolsevaart het beste (redelijk goede zuurstofhuishouding en matig hoge organische belasting).</t>
  </si>
  <si>
    <t>Het effluent van AWZI Zeewolde levert geen problemen voor de zuurstof- en nutriëntenhuishouding.</t>
  </si>
  <si>
    <t xml:space="preserve">De macrofaunalevensgemeenschap duidt op stilstaand tot langzaam stromend water met een matige tot (redelijk) goede zuurstofhuishouding en een matige tot hoge organische belasting. </t>
  </si>
  <si>
    <t>Er zijn drie AWZI’s die het effluent op dit waterlichaam lozen: Almere, Lelystad en Dronten. Dit levert echter geen problemen op voor de zuurstof- en nutriëntenhuishouding.</t>
  </si>
  <si>
    <t>De macrofaunalevensgemeenschap duidt op stilstaand tot langzaam stromend water met een matige tot redelijke zuurstofhuishouding en een matige tot (redelijk) hoge organische belasting.</t>
  </si>
  <si>
    <t>Er zijn soms veel ganzen. De grootte van het effect is waarschijnlijk van ondergeschikt belang. De zuurstofhuishouding is goed.</t>
  </si>
  <si>
    <t>De macrofaunalevensgemeenschap duidt op stilstaand tot bewegend water met een redelijk tot goede zuurstofhuishouding en een matige tot redelijk hoge organische belasting.</t>
  </si>
  <si>
    <t>De zuurstofverzadiging is goed. Er zijn geen puntbronnen zoals riooloverstorten. Uitwerpselen van watervogels vormen kennelijk geen probleem voor de zuurstofhuishouding.</t>
  </si>
  <si>
    <t xml:space="preserve">Geen oordeel. Harderbroek is gebaggerd, vrijwel alle (bodem)woelende vis is verwijderd. Maar gebied staat nog grotendeels droog. De. macrofaunalevensgemeenschap voor droogzetten duidde op stilstaand tot bewegend eutroof water met een redelijke tot goede zuurstofhuishouding en een matig hoge organische belasting. </t>
  </si>
  <si>
    <t>De macrofaunalevensgemeenschap duidt op stilstaand tot bewegend eutroof water met een slechte zuurstofhuishouding en een hoge organische belasting</t>
  </si>
  <si>
    <t>Het zuurstofgehalte voldoet aan de norm. Er zijn geen relevante bronnen van organische belasting bekend.</t>
  </si>
  <si>
    <t>De macrofaunalevensgemeenschap duidt op stilstaand tot bewegend redelijk eutroof tot eutroof water met een redelijke tot goede zuurstofhuishouding en een matige tot redelijk hoge organische belasting.</t>
  </si>
  <si>
    <t>Er zijn geen relevante bronnen. Het zuurstofgehalte is goed.</t>
  </si>
  <si>
    <t>De macrofaunalevensgemeenchap duidt op stilstaand tot bewegend redelijk eutroof tot eutroof water met een redelijke tot goede zuurstofhuishouding en een
matig tot redelijk hoge organische belasting.</t>
  </si>
  <si>
    <t>De macrofauangemeenschap in het niet drooggezette oostelijke deel duidt op stilstaand tot bewegend eutroof water met een redelijke zuurstofhuishouding en een matig hoge organische belasting.</t>
  </si>
  <si>
    <t>De Oostvaardersplassen maken deel uit van het PAGW-project  Oostvaardersoevers. Besluitvorming over dit project wordt op  pas na 2027 verwacht. Ook dan is pas duidelijk wat de consequenties zijn voor de natuurontwikkelingsdoelen (en maatregelen) voor dit gebied. Verwachting  is dat dit een (redelijk) voedselrijk systeem blijft met een matig tot hoge organische belasting.</t>
  </si>
  <si>
    <t>Lokaal, nabij gemalen die water uit landbouwpolders uit het beheergebied van Waterschap Drents-Overijsselse Delta slaan op het Vollenhover- en Kadoelermeer ligt slib. Dit heeft lokaal mogelijk een negatief effect (plantensoorten die duiden op voedselrijkere omstandigheden). Verder zijn er lokaal veel watervogels (guanotrofie), zowel in het Vollenhover- als Kadoelermeer.</t>
  </si>
  <si>
    <t>De macrofaunalevensgemeenchap duidt op stilstaand tot bewegend mesotroof tot eutroof water met een redelijke tot goede zuurstofhuishouding en een matig hoge organische belasting.</t>
  </si>
  <si>
    <t>Er zijn geen relevante bronnen. De zuurstofhuishouding is goed.</t>
  </si>
  <si>
    <t>ESF8 Toxiciteit</t>
  </si>
  <si>
    <t>Er zijn geen insecticiden in normoverschrijdende concentraties aangetroffen, totaal-stikstof en EGV vormen eveneens geen probleem.</t>
  </si>
  <si>
    <t xml:space="preserve">In circa 20% van de metingen een matige tot hoge natuurlijke toxiciteit door ammonium en op circa 20% van de meetpunten een matige natuurlijke toxiciteit door ijzer. In circa 1% van de metingen een hoge toxiciteit door metalen. </t>
  </si>
  <si>
    <t>Geen veranderingen verwacht in natuurlijke toxiciteit.</t>
  </si>
  <si>
    <t xml:space="preserve">In circa 20% van de metingen een matige tot hoge natuurlijke toxiciteit door ammonium. Op circa 35% van de meetpunten een matige natuurlijke toxiciteit door ijzer. </t>
  </si>
  <si>
    <t xml:space="preserve">In circa 37% van de metingen een matige tot  hoge natuurlijke toxiciteit door ammonium. In bijna 25% van de metingen een  vooral matige tot hoge natuurlijke toxiciteit door metalen. </t>
  </si>
  <si>
    <t>In circa 57% van de metingen een matige tot  vooral hoge natuurlijke toxiciteit door ammonium en op circa 50% van de meetpuntenn een matige natuurlijke toxiciteit door ijzer. In circa 7% van het beperkte aantal metingen een  hoge antropogene toxiciteit door gewasbeschermingsmiddelen.</t>
  </si>
  <si>
    <t>Aangenomen is dat antropogene toxiciteit door gewasbeschermingsmiddelen zal afnemen door wet- en regelgeving. Geen veranderingen verwacht in natuurlijke toxiciteit.</t>
  </si>
  <si>
    <t>Er zijn 10 insecticiden aangetroffen die de norm overschrijden. Daarnaast zijn meer dan 50% van de doelsoorten macrofauna afwezig op basis van de totaal-stikstofgehalten en de EGV-waarden.</t>
  </si>
  <si>
    <t>In circa 10% van de metingen een vooral hoge natuurlijke toxiciteit door ammonium en en op ruim 25% van de meetpuntenn een matige natuurlijke toxiciteit door ijzer. In bijna 4% van de metingen een  matige tot hoge natuurlijke toxiciteit door metalen.  In ruim 35%  van de metingen een een matige tot tot vooral hoge antropogene toxiciteit door gewasbeschermingsmiddelen.</t>
  </si>
  <si>
    <t>Aangenomen is dat antropogene toxiciteit door gewasbeschermingsmiddelen zal afnemen door wet- en regelgeving. Natuurlijke toxiciteit blijft echter aanwezig.</t>
  </si>
  <si>
    <t>Er zijn 5 insecticiden die de norm overschrijden. Daarnaast zijn meer dan 50% van de doelsoorten macrofauna afwezig op basis van de totaal-stikstofgehalten en de EGV-waarden. In het deel waar doorgespoeld wordt, is er afwisseling tussen zoete en niet-zoete omstandigheden. Dit vormt een knelpunt voor flora en fauna.</t>
  </si>
  <si>
    <t>In bijna 10% van de metingen een matige tot vooral hoge natuurlijke toxiciteit door ammonium en op 60% van de meetpunten een matige natuurlijke toxiciteit door ijzer. In ruim 10% van het beperkte aantal metingen een matige antropogene toxiciteit door gewasbeschermingsmiddelen.</t>
  </si>
  <si>
    <t>Aangenomen is dat antropogene toxiciteit door gewasbeschermingsmiddelen zal afnemen door wet- en regelgeving . Natuurlijke toxiciteit blijft echter aanwezig.</t>
  </si>
  <si>
    <t>Er zijn 3 insecticiden die de norm overschrijden. Daarnaast zijn meer dan 50% van de doelsoorten macrofauna afwezig op basis van de totaal-stikstofgehalten.</t>
  </si>
  <si>
    <t>In ruim 70% van de metingen een matige tot vooral hoge natuurlijke toxiciteit door ammonium. Op ruim 75% van de meetpunten een matige natuurlijke toxiciteit door ijzer, op de overige meetpunten is zelfs sprake van een hoge natuurlijke toxiciteit door ijzer. In circa 10% van de metingen een matige tot hoge antropogene toxiciteit door gewasbeschermingsmiddelen.</t>
  </si>
  <si>
    <t>Er zijn 9 insecticiden die de norm overschrijden. Daarnaast zijn meer dan 50% van de doelsoorten macrofauna afwezig op basis van de totaal-stikstofgehalten.</t>
  </si>
  <si>
    <t xml:space="preserve"> </t>
  </si>
  <si>
    <t>Aangenomen is dat antropogene toxiciteit door gewasbeschermingsmiddelen zal afnemen door wet- en regelgeving . De gecreosoteerde oevers worden vervangen, maar dat is in 2033 nog niet gereed. Natuurlijke toxiciteit blijft echter aanwezig.</t>
  </si>
  <si>
    <t>Er zijn 9 insecticiden die de norm overschrijden. Er is geen toxische druk door achtergrondbelasting van EGV of totaal-stikstof.</t>
  </si>
  <si>
    <t>In bijna 2% van de metingen een vooral hoge natuurlijke toxiciteit door ammonium. Op 40% van de meetpunten een matige natuurlijke toxiciteit door ijzer. In bijna 45% van de metingen een matige tot vooral hoge antropogene toxiciteit door gewasbeschermingsmiddelen. In circa 4% van het beperkte aantal metingen een hoge antropogene toxiciteit door PAK.</t>
  </si>
  <si>
    <t>Er zijn twee insecticiden die de norm overschrijden. Totaal-stikstof en EGV vormen geen probleem.</t>
  </si>
  <si>
    <t>In ruim 15% van de metingen een matige tot vooral hoge natuurlijke toxiciteit door ammonium. Op 75% van de meetpunten een matige natuurlijke toxiciteit door ijzer. In bijna 2% van de metingen een matige tot hoge natuurlijke toxiciteit voor metalen.  In bijna 15% van de metingen een matige tot hoge antropogene toxiciteit door gewasbeschermingsmiddelen. In circa 1% van de metingen een matige tot zeer hoge hoge antropogene toxiciteit door PAK.</t>
  </si>
  <si>
    <t>Aangenomen is dat antropogene toxiciteit door gewasbeschermingsmiddelen zal afnemen door wet- en regelgeving . De gecreosoteerde oevers in de tochten worden vervangen, maar dat is in 2033 nog niet gereed. Natuurlijke toxiciteit blijft echter aanwezig.</t>
  </si>
  <si>
    <t>Er zijn geen insecticiden die de norm overschrijden. Totaal-stikstof en EGV vormen eveneens geen probleem.</t>
  </si>
  <si>
    <t>In bijna 15% van de metingen een matige tot vooral hoge natuurlijke toxiciteit door ammonium. In bijna 3% van de metingen een matige tot hoge natuurlijke toxiciteit voor metalen.  In ruim 5% van de metingen is sprake van een matige tot hoge antropogene toxiciteit door gewasbeschermingsmiddelen.</t>
  </si>
  <si>
    <t>In ruim 25% van de metingen een matige tot vooral hoge natuurlijke toxiciteit door ammonium. Op 20% van de metingen een matige natuurlijke toxiciteit door ijzer. In bijna 3% van de metingen een matige tot hoge natuurlijke toxiciteit voor metalen. In circa 10% van de metingen een hoge antropogene toxiciteit door gewasbeschermingsmiddelen.</t>
  </si>
  <si>
    <t>Geen oordeel,  gebied staat nog grotendeels droog.</t>
  </si>
  <si>
    <t>Uit toxiciteitsonderzoek bleek dat in ruim 30% van het beperkte aantal metingen voor drooglegging sprake was van een  hoge natuurlijke toxiciteit door ammonium. Aangenomen is dat hier geen veranderingen optreden nadat het gebied weer onder water staat.</t>
  </si>
  <si>
    <t xml:space="preserve">In 20% van het beperkte aantal metingen een  hoge natuurlijke toxiciteit door ammonium. In ruim 40% van het beperkte aantal metingen een matige tot hoge natuurlijke toxiciteit voor metalen. </t>
  </si>
  <si>
    <t>Er zijn geen aanwijzingen voor een toxische druk.</t>
  </si>
  <si>
    <t>In bijna 30% van het beperkte aantal metingen een hoge natuurlijke toxiciteit door ammonium. In 10% van het beperkte aantal metingen een hoge natuurlijke toxiciteit voor metalen. In 25% van het beperkte aantal metingen een hoge antropogene toxiciteit door gewasbeschermingsmiddelen.</t>
  </si>
  <si>
    <t>Er zijn geen aanwijzingen voor toxische druk.</t>
  </si>
  <si>
    <t xml:space="preserve">In ruim 15% van het beperkte aantal metingen een  hoge natuurlijke toxiciteit door ammonium. In bijna 30% van het beperkte aantal metingen een matige tot hoge natuurlijke toxiciteit voor metalen. </t>
  </si>
  <si>
    <t xml:space="preserve">Er zijn geen aanwijzingen voor toxische druk. Er zijn geen grote relevante bronnen in het gebied. Er is slechts één kleine AWZI die het effluent loost, maar het ontvangend oppervlaktewater is groot en goed doorspoeld. </t>
  </si>
  <si>
    <t>In circa 1% van het beperkte aantal metingen een  hoge natuurlijke toxiciteit door ammonium. In bijna 3% van het beperkte aantal metingen een matige tot hoge natuurlijke toxiciteit voor metalen. In bijna 4% van het beperkte aantal metingen hoge antropogene toxiciteit door gewasbeschermingsmiddelen. In bijna 5% van de metingen een hoge tot vooral hoge en zeer hoge antropogene toxiciteit door PAK.</t>
  </si>
  <si>
    <t>De stoffen die de norm overschrijden, worden niet aangemerkt als stoffen met een hoog ecologisch risico.</t>
  </si>
  <si>
    <t>ESF1</t>
  </si>
  <si>
    <t>ESF2</t>
  </si>
  <si>
    <t>ESF3</t>
  </si>
  <si>
    <t>ESF4</t>
  </si>
  <si>
    <t>ESF5</t>
  </si>
  <si>
    <t>ESF6</t>
  </si>
  <si>
    <t>ESF7</t>
  </si>
  <si>
    <t>ESF8</t>
  </si>
  <si>
    <t>ESF8 nieuw</t>
  </si>
  <si>
    <t xml:space="preserve">Volgens de eigen methode wordt een EKR van 0,57 verwacht. De KRW-verkenner berekent echter geen verandering in toestand. Er is geen betrouwbare trend. De toestand  2025 is nauwelijks veranderd ten opzichte van die in 2019.  Rekening houdend met de onzekerheidsmarge van 0,03 EKR wordt het GEP bijgesteld tot 0,54 EKR. </t>
  </si>
  <si>
    <t>De eigen methode verwacht een EKR van 0,69. De KRW-verkenner berekent echter een kleine achteruitgang in toestand. Gelet op de situatie 2025 lijkt een GEP van 0,60 EKR haalbaar, ook als rekening wordt gehouden met de onzekerheidsmarge van 0,03 EKR. Het GEP wordt daarom niet gewijzigd.</t>
  </si>
  <si>
    <t>Volgens de eigen methode wordt een EKR van 0,70 verwacht. De KRW-verkenner berekent nauwelijks een verandering in toestand. Een trend is niet zichtbaar. De toestand 2025 is niet verandert ten opzichte van die in 2019, maar nog steeds hoger dan 0,60 EKR. Het GEP wordt niet aangepast.</t>
  </si>
  <si>
    <t>Volgens de eigen methode wordt een EKR van 0,62 verwacht. Omdat de toestand 2025 reeds een EKR van 0,72 laat zien, wordt het GEP niet gewijzigd en blijft het 0,60 EKR.</t>
  </si>
  <si>
    <t>Volgens de eigen methode wordt een EKR van 0,56 verwacht. De KRW-verkenner berekent eveneens een verbetering in toestand. De toestand 2025 is iets verbeterd ten opzichte van die van 2019. Met inachtneming van de onzekerheidsmarge van 0,03 EKR wordt het GEP bijgesteld tot 0,53 EKR.</t>
  </si>
  <si>
    <r>
      <rPr>
        <sz val="11"/>
        <color rgb="FF000000"/>
        <rFont val="Aptos Narrow"/>
        <family val="2"/>
        <scheme val="minor"/>
      </rPr>
      <t>Volgens de eigen methode wordt een EKR van 0,53 verwacht</t>
    </r>
    <r>
      <rPr>
        <sz val="11"/>
        <color rgb="FF00B0F0"/>
        <rFont val="Aptos Narrow"/>
        <family val="2"/>
        <scheme val="minor"/>
      </rPr>
      <t>.</t>
    </r>
    <r>
      <rPr>
        <sz val="11"/>
        <color rgb="FF000000"/>
        <rFont val="Aptos Narrow"/>
        <family val="2"/>
        <scheme val="minor"/>
      </rPr>
      <t xml:space="preserve"> De KRW-verkenner berekent een lichte achteruitgang. De toestand 2025  is echter hoger dan in 2019. Rekening houdend met de onzekerheidsmarge van 0,03 EKR, blijft het GEP 0,50 EKR.</t>
    </r>
  </si>
  <si>
    <t>Toelichting voorstel technische doelaanpassing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</si>
</sst>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1" x14ac:knownFonts="1">
    <font>
      <sz val="11"/>
      <color theme="1"/>
      <name val="Aptos Narrow"/>
      <family val="2"/>
      <scheme val="minor"/>
    </font>
    <font>
      <b/>
      <sz val="11"/>
      <color theme="1"/>
      <name val="Aptos Narrow"/>
      <family val="2"/>
      <scheme val="minor"/>
    </font>
    <font>
      <b/>
      <sz val="11"/>
      <color indexed="8"/>
      <name val="Aptos Narrow"/>
      <family val="2"/>
      <scheme val="minor"/>
    </font>
    <font>
      <b/>
      <sz val="12"/>
      <color theme="1"/>
      <name val="Aptos Narrow"/>
      <family val="2"/>
      <scheme val="minor"/>
    </font>
    <font>
      <b/>
      <sz val="14"/>
      <color theme="1"/>
      <name val="Aptos Narrow"/>
      <family val="2"/>
      <scheme val="minor"/>
    </font>
    <font>
      <sz val="11"/>
      <color theme="2" tint="-9.9978637043366805E-2"/>
      <name val="Aptos Narrow"/>
      <family val="2"/>
      <scheme val="minor"/>
    </font>
    <font>
      <sz val="11"/>
      <name val="Aptos Narrow"/>
      <family val="2"/>
      <scheme val="minor"/>
    </font>
    <font>
      <sz val="9"/>
      <color indexed="81"/>
      <name val="Tahoma"/>
      <family val="2"/>
    </font>
    <font>
      <b/>
      <sz val="12"/>
      <color theme="0"/>
      <name val="Aptos Narrow"/>
      <family val="2"/>
      <scheme val="minor"/>
    </font>
    <font>
      <b/>
      <sz val="14"/>
      <color theme="0"/>
      <name val="Aptos Narrow"/>
      <family val="2"/>
      <scheme val="minor"/>
    </font>
    <font>
      <b/>
      <sz val="11"/>
      <color theme="0"/>
      <name val="Aptos Narrow"/>
      <family val="2"/>
      <scheme val="minor"/>
    </font>
    <font>
      <sz val="11"/>
      <color theme="1"/>
      <name val="Aptos Narrow"/>
      <family val="2"/>
      <scheme val="minor"/>
    </font>
    <font>
      <sz val="11"/>
      <color rgb="FF9C0006"/>
      <name val="Aptos Narrow"/>
      <family val="2"/>
      <scheme val="minor"/>
    </font>
    <font>
      <b/>
      <sz val="16"/>
      <color theme="1"/>
      <name val="Aptos Narrow"/>
      <family val="2"/>
      <scheme val="minor"/>
    </font>
    <font>
      <sz val="12"/>
      <color theme="1"/>
      <name val="Aptos Narrow"/>
      <family val="2"/>
      <scheme val="minor"/>
    </font>
    <font>
      <sz val="14"/>
      <color theme="1"/>
      <name val="Aptos Narrow"/>
      <family val="2"/>
      <scheme val="minor"/>
    </font>
    <font>
      <b/>
      <sz val="16"/>
      <color theme="0"/>
      <name val="Aptos Narrow"/>
      <family val="2"/>
      <scheme val="minor"/>
    </font>
    <font>
      <sz val="11"/>
      <color rgb="FF000000"/>
      <name val="Aptos Narrow"/>
      <family val="2"/>
      <scheme val="minor"/>
    </font>
    <font>
      <sz val="11"/>
      <color rgb="FF00B0F0"/>
      <name val="Aptos Narrow"/>
      <family val="2"/>
      <scheme val="minor"/>
    </font>
    <font>
      <b/>
      <sz val="11"/>
      <color rgb="FF0070C0"/>
      <name val="Aptos Narrow"/>
      <family val="2"/>
      <scheme val="minor"/>
    </font>
    <font>
      <sz val="11"/>
      <color theme="0" tint="-0.249977111117893"/>
      <name val="Aptos Narrow"/>
      <family val="2"/>
      <scheme val="minor"/>
    </font>
  </fonts>
  <fills count="14">
    <fill>
      <patternFill patternType="none"/>
    </fill>
    <fill>
      <patternFill patternType="gray125"/>
    </fill>
    <fill>
      <patternFill patternType="solid">
        <fgColor theme="3" tint="0.89999084444715716"/>
        <bgColor indexed="64"/>
      </patternFill>
    </fill>
    <fill>
      <patternFill patternType="solid">
        <fgColor rgb="FF0070C0"/>
        <bgColor indexed="64"/>
      </patternFill>
    </fill>
    <fill>
      <patternFill patternType="solid">
        <fgColor theme="3" tint="0.89999084444715716"/>
        <bgColor theme="4" tint="0.79998168889431442"/>
      </patternFill>
    </fill>
    <fill>
      <patternFill patternType="solid">
        <fgColor theme="2"/>
        <bgColor indexed="64"/>
      </patternFill>
    </fill>
    <fill>
      <patternFill patternType="solid">
        <fgColor rgb="FFFFFF00"/>
        <bgColor indexed="64"/>
      </patternFill>
    </fill>
    <fill>
      <patternFill patternType="solid">
        <fgColor theme="1" tint="0.499984740745262"/>
        <bgColor indexed="64"/>
      </patternFill>
    </fill>
    <fill>
      <patternFill patternType="solid">
        <fgColor rgb="FFFFC7CE"/>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249977111117893"/>
        <bgColor theme="4" tint="0.79998168889431442"/>
      </patternFill>
    </fill>
    <fill>
      <patternFill patternType="solid">
        <fgColor theme="9" tint="0.39997558519241921"/>
        <bgColor indexed="64"/>
      </patternFill>
    </fill>
    <fill>
      <patternFill patternType="solid">
        <fgColor rgb="FF00206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9" fontId="11" fillId="0" borderId="0" applyFont="0" applyFill="0" applyBorder="0" applyAlignment="0" applyProtection="0"/>
    <xf numFmtId="0" fontId="12" fillId="8" borderId="0" applyNumberFormat="0" applyBorder="0" applyAlignment="0" applyProtection="0"/>
  </cellStyleXfs>
  <cellXfs count="233">
    <xf numFmtId="0" fontId="0" fillId="0" borderId="0" xfId="0"/>
    <xf numFmtId="0" fontId="1" fillId="2" borderId="1" xfId="0" applyFont="1" applyFill="1" applyBorder="1"/>
    <xf numFmtId="0" fontId="0" fillId="0" borderId="1" xfId="0" applyBorder="1"/>
    <xf numFmtId="0" fontId="1" fillId="2" borderId="2" xfId="0" applyFont="1" applyFill="1" applyBorder="1"/>
    <xf numFmtId="0" fontId="2" fillId="2" borderId="1" xfId="0" applyFont="1" applyFill="1" applyBorder="1"/>
    <xf numFmtId="0" fontId="4" fillId="0" borderId="0" xfId="0" applyFont="1"/>
    <xf numFmtId="0" fontId="5" fillId="0" borderId="0" xfId="0" applyFont="1"/>
    <xf numFmtId="0" fontId="3" fillId="0" borderId="0" xfId="0" applyFont="1"/>
    <xf numFmtId="0" fontId="0" fillId="0" borderId="3" xfId="0" applyBorder="1"/>
    <xf numFmtId="0" fontId="0" fillId="0" borderId="4" xfId="0" applyBorder="1"/>
    <xf numFmtId="0" fontId="0" fillId="0" borderId="9" xfId="0" applyBorder="1"/>
    <xf numFmtId="0" fontId="0" fillId="0" borderId="11" xfId="0" applyBorder="1"/>
    <xf numFmtId="1" fontId="5" fillId="0" borderId="0" xfId="0" applyNumberFormat="1" applyFont="1" applyAlignment="1">
      <alignment horizontal="right"/>
    </xf>
    <xf numFmtId="0" fontId="5" fillId="0" borderId="0" xfId="0" applyFont="1" applyAlignment="1">
      <alignment horizontal="left"/>
    </xf>
    <xf numFmtId="0" fontId="6" fillId="0" borderId="0" xfId="0" applyFont="1" applyAlignment="1">
      <alignment horizontal="left"/>
    </xf>
    <xf numFmtId="0" fontId="0" fillId="0" borderId="5" xfId="0" applyBorder="1"/>
    <xf numFmtId="0" fontId="0" fillId="0" borderId="8" xfId="0" applyBorder="1"/>
    <xf numFmtId="0" fontId="1" fillId="0" borderId="4" xfId="0" applyFont="1" applyBorder="1"/>
    <xf numFmtId="0" fontId="1" fillId="0" borderId="0" xfId="0" applyFont="1"/>
    <xf numFmtId="0" fontId="0" fillId="0" borderId="15" xfId="0" applyBorder="1"/>
    <xf numFmtId="2" fontId="0" fillId="0" borderId="1" xfId="0" applyNumberFormat="1" applyBorder="1"/>
    <xf numFmtId="49" fontId="0" fillId="0" borderId="1" xfId="0" applyNumberFormat="1" applyBorder="1"/>
    <xf numFmtId="0" fontId="0" fillId="0" borderId="0" xfId="0" applyAlignment="1">
      <alignment wrapText="1"/>
    </xf>
    <xf numFmtId="0" fontId="0" fillId="0" borderId="1" xfId="0" applyBorder="1" applyAlignment="1">
      <alignment vertical="top" wrapText="1"/>
    </xf>
    <xf numFmtId="0" fontId="1" fillId="5" borderId="1" xfId="0" applyFont="1" applyFill="1" applyBorder="1" applyAlignment="1">
      <alignment horizontal="left"/>
    </xf>
    <xf numFmtId="2" fontId="5" fillId="0" borderId="0" xfId="0" applyNumberFormat="1" applyFont="1"/>
    <xf numFmtId="1" fontId="0" fillId="0" borderId="1" xfId="0" applyNumberFormat="1" applyBorder="1"/>
    <xf numFmtId="1" fontId="0" fillId="0" borderId="0" xfId="0" applyNumberFormat="1"/>
    <xf numFmtId="0" fontId="9" fillId="3" borderId="1" xfId="0" applyFont="1" applyFill="1" applyBorder="1" applyAlignment="1">
      <alignment horizontal="left"/>
    </xf>
    <xf numFmtId="0" fontId="0" fillId="0" borderId="1" xfId="0" applyBorder="1" applyAlignment="1">
      <alignment horizontal="center" vertical="center"/>
    </xf>
    <xf numFmtId="0" fontId="0" fillId="0" borderId="7" xfId="0" applyBorder="1" applyAlignment="1">
      <alignment vertical="top" wrapText="1"/>
    </xf>
    <xf numFmtId="0" fontId="0" fillId="0" borderId="31" xfId="0" applyBorder="1" applyAlignment="1">
      <alignment vertical="top" wrapText="1"/>
    </xf>
    <xf numFmtId="0" fontId="1" fillId="2" borderId="1" xfId="0" applyFont="1" applyFill="1" applyBorder="1" applyAlignment="1">
      <alignment wrapText="1"/>
    </xf>
    <xf numFmtId="0" fontId="1" fillId="0" borderId="0" xfId="0" applyFont="1" applyAlignment="1">
      <alignment horizontal="left" vertical="top"/>
    </xf>
    <xf numFmtId="0" fontId="0" fillId="0" borderId="1" xfId="0" applyBorder="1" applyAlignment="1">
      <alignment vertical="top"/>
    </xf>
    <xf numFmtId="2" fontId="0" fillId="0" borderId="1" xfId="0" applyNumberFormat="1" applyBorder="1" applyAlignment="1">
      <alignment vertical="top"/>
    </xf>
    <xf numFmtId="0" fontId="0" fillId="0" borderId="0" xfId="0" applyAlignment="1">
      <alignment vertical="top"/>
    </xf>
    <xf numFmtId="164" fontId="0" fillId="0" borderId="1" xfId="0" applyNumberFormat="1" applyBorder="1"/>
    <xf numFmtId="2" fontId="0" fillId="5" borderId="16" xfId="0" applyNumberFormat="1" applyFill="1" applyBorder="1" applyAlignment="1">
      <alignment vertical="top"/>
    </xf>
    <xf numFmtId="165" fontId="0" fillId="5" borderId="16" xfId="0" applyNumberFormat="1" applyFill="1" applyBorder="1" applyAlignment="1">
      <alignment vertical="top"/>
    </xf>
    <xf numFmtId="2" fontId="0" fillId="0" borderId="16" xfId="0" applyNumberFormat="1" applyBorder="1" applyAlignment="1">
      <alignment vertical="top"/>
    </xf>
    <xf numFmtId="0" fontId="0" fillId="6" borderId="1" xfId="0" applyFill="1" applyBorder="1" applyAlignment="1">
      <alignment vertical="top"/>
    </xf>
    <xf numFmtId="2" fontId="0" fillId="6" borderId="2" xfId="0" applyNumberFormat="1" applyFill="1" applyBorder="1" applyAlignment="1">
      <alignment vertical="top"/>
    </xf>
    <xf numFmtId="0" fontId="0" fillId="5" borderId="1" xfId="0" applyFill="1" applyBorder="1" applyAlignment="1">
      <alignment vertical="top"/>
    </xf>
    <xf numFmtId="2" fontId="0" fillId="5" borderId="2" xfId="0" applyNumberFormat="1" applyFill="1" applyBorder="1" applyAlignment="1">
      <alignment vertical="top"/>
    </xf>
    <xf numFmtId="0" fontId="0" fillId="5" borderId="7" xfId="0" applyFill="1" applyBorder="1" applyAlignment="1">
      <alignment vertical="top"/>
    </xf>
    <xf numFmtId="0" fontId="0" fillId="0" borderId="24" xfId="0" applyBorder="1" applyAlignment="1">
      <alignment vertical="top"/>
    </xf>
    <xf numFmtId="0" fontId="0" fillId="0" borderId="26" xfId="0" applyBorder="1" applyAlignment="1">
      <alignment vertical="top"/>
    </xf>
    <xf numFmtId="0" fontId="1" fillId="2" borderId="26" xfId="0" applyFont="1" applyFill="1" applyBorder="1" applyAlignment="1">
      <alignment horizontal="center" vertical="top"/>
    </xf>
    <xf numFmtId="0" fontId="1" fillId="2" borderId="31" xfId="0" applyFont="1" applyFill="1" applyBorder="1" applyAlignment="1">
      <alignment horizontal="center" vertical="top"/>
    </xf>
    <xf numFmtId="0" fontId="1" fillId="2" borderId="28" xfId="0" applyFont="1" applyFill="1" applyBorder="1" applyAlignment="1">
      <alignment horizontal="center" vertical="top"/>
    </xf>
    <xf numFmtId="0" fontId="1" fillId="2" borderId="30" xfId="0" applyFont="1" applyFill="1" applyBorder="1" applyAlignment="1">
      <alignment horizontal="center" vertical="top"/>
    </xf>
    <xf numFmtId="0" fontId="0" fillId="5" borderId="1" xfId="0" applyFill="1" applyBorder="1" applyAlignment="1">
      <alignment vertical="top" wrapText="1"/>
    </xf>
    <xf numFmtId="0" fontId="0" fillId="2" borderId="1" xfId="0" applyFill="1" applyBorder="1" applyAlignment="1">
      <alignment vertical="top"/>
    </xf>
    <xf numFmtId="2" fontId="0" fillId="9" borderId="1" xfId="0" applyNumberFormat="1" applyFill="1" applyBorder="1" applyAlignment="1">
      <alignment vertical="top"/>
    </xf>
    <xf numFmtId="2" fontId="0" fillId="2" borderId="1" xfId="0" applyNumberFormat="1" applyFill="1" applyBorder="1" applyAlignment="1">
      <alignment vertical="top"/>
    </xf>
    <xf numFmtId="2" fontId="0" fillId="2" borderId="1" xfId="0" applyNumberFormat="1" applyFill="1" applyBorder="1" applyAlignment="1">
      <alignment vertical="top" wrapText="1"/>
    </xf>
    <xf numFmtId="0" fontId="13" fillId="0" borderId="0" xfId="0" applyFont="1"/>
    <xf numFmtId="0" fontId="8" fillId="0" borderId="0" xfId="0" applyFont="1"/>
    <xf numFmtId="2" fontId="0" fillId="9" borderId="1" xfId="0" applyNumberFormat="1" applyFill="1" applyBorder="1" applyAlignment="1">
      <alignment vertical="top" wrapText="1"/>
    </xf>
    <xf numFmtId="2" fontId="0" fillId="0" borderId="29" xfId="2" applyNumberFormat="1" applyFont="1" applyFill="1" applyBorder="1" applyAlignment="1">
      <alignment vertical="top"/>
    </xf>
    <xf numFmtId="164" fontId="0" fillId="2" borderId="1" xfId="0" applyNumberFormat="1" applyFill="1" applyBorder="1" applyAlignment="1">
      <alignment vertical="top"/>
    </xf>
    <xf numFmtId="0" fontId="13" fillId="0" borderId="0" xfId="0" applyFont="1" applyAlignment="1">
      <alignment wrapText="1"/>
    </xf>
    <xf numFmtId="0" fontId="0" fillId="2" borderId="1" xfId="0" applyFill="1" applyBorder="1" applyAlignment="1">
      <alignment vertical="top" wrapText="1"/>
    </xf>
    <xf numFmtId="2" fontId="0" fillId="0" borderId="1" xfId="0" applyNumberFormat="1" applyBorder="1" applyAlignment="1">
      <alignment vertical="top" wrapText="1"/>
    </xf>
    <xf numFmtId="164" fontId="0" fillId="2" borderId="1" xfId="0" applyNumberFormat="1" applyFill="1" applyBorder="1" applyAlignment="1">
      <alignment vertical="top" wrapText="1"/>
    </xf>
    <xf numFmtId="0" fontId="0" fillId="0" borderId="0" xfId="0" applyAlignment="1">
      <alignment vertical="top" wrapText="1"/>
    </xf>
    <xf numFmtId="2" fontId="0" fillId="5" borderId="16" xfId="0" applyNumberFormat="1" applyFill="1" applyBorder="1" applyAlignment="1">
      <alignment vertical="top" wrapText="1"/>
    </xf>
    <xf numFmtId="165" fontId="0" fillId="5" borderId="16" xfId="0" applyNumberFormat="1" applyFill="1" applyBorder="1" applyAlignment="1">
      <alignment vertical="top" wrapText="1"/>
    </xf>
    <xf numFmtId="2" fontId="0" fillId="0" borderId="16" xfId="0" applyNumberFormat="1" applyBorder="1" applyAlignment="1">
      <alignment vertical="top" wrapText="1"/>
    </xf>
    <xf numFmtId="0" fontId="0" fillId="6" borderId="1" xfId="0" applyFill="1" applyBorder="1" applyAlignment="1">
      <alignment vertical="top" wrapText="1"/>
    </xf>
    <xf numFmtId="2" fontId="0" fillId="6" borderId="2" xfId="0" applyNumberFormat="1" applyFill="1" applyBorder="1" applyAlignment="1">
      <alignment vertical="top" wrapText="1"/>
    </xf>
    <xf numFmtId="2" fontId="0" fillId="5" borderId="2" xfId="0" applyNumberFormat="1" applyFill="1" applyBorder="1" applyAlignment="1">
      <alignment vertical="top" wrapText="1"/>
    </xf>
    <xf numFmtId="0" fontId="0" fillId="5" borderId="7" xfId="0" applyFill="1" applyBorder="1" applyAlignment="1">
      <alignment vertical="top" wrapText="1"/>
    </xf>
    <xf numFmtId="2" fontId="0" fillId="12" borderId="1" xfId="0" applyNumberFormat="1" applyFill="1" applyBorder="1" applyAlignment="1">
      <alignment vertical="top"/>
    </xf>
    <xf numFmtId="0" fontId="14" fillId="0" borderId="0" xfId="0" applyFont="1" applyAlignment="1">
      <alignment horizontal="left" vertical="top" wrapText="1"/>
    </xf>
    <xf numFmtId="0" fontId="14" fillId="0" borderId="1" xfId="0" applyFont="1" applyBorder="1" applyAlignment="1">
      <alignment horizontal="left" vertical="top" wrapText="1"/>
    </xf>
    <xf numFmtId="0" fontId="3" fillId="2" borderId="19" xfId="0" applyFont="1" applyFill="1" applyBorder="1" applyAlignment="1">
      <alignment horizontal="left" vertical="top" wrapText="1"/>
    </xf>
    <xf numFmtId="0" fontId="14" fillId="0" borderId="25" xfId="0" applyFont="1" applyBorder="1" applyAlignment="1">
      <alignment horizontal="left" vertical="top" wrapText="1"/>
    </xf>
    <xf numFmtId="0" fontId="3" fillId="0" borderId="24" xfId="0" applyFont="1" applyBorder="1" applyAlignment="1">
      <alignment horizontal="left" vertical="top" wrapText="1"/>
    </xf>
    <xf numFmtId="0" fontId="3" fillId="0" borderId="26" xfId="0" applyFont="1" applyBorder="1" applyAlignment="1">
      <alignment horizontal="left" vertical="top" wrapText="1"/>
    </xf>
    <xf numFmtId="2" fontId="0" fillId="9" borderId="1" xfId="0" applyNumberFormat="1" applyFill="1" applyBorder="1" applyAlignment="1">
      <alignment horizontal="right" vertical="top" wrapText="1"/>
    </xf>
    <xf numFmtId="2" fontId="0" fillId="2" borderId="1" xfId="0" applyNumberFormat="1" applyFill="1" applyBorder="1" applyAlignment="1">
      <alignment horizontal="right" vertical="top" wrapText="1"/>
    </xf>
    <xf numFmtId="2" fontId="0" fillId="9" borderId="1" xfId="0" applyNumberFormat="1" applyFill="1" applyBorder="1" applyAlignment="1">
      <alignment horizontal="right" vertical="top" wrapText="1" indent="1"/>
    </xf>
    <xf numFmtId="2" fontId="0" fillId="12" borderId="1" xfId="0" applyNumberFormat="1" applyFill="1" applyBorder="1" applyAlignment="1">
      <alignment vertical="top" wrapText="1"/>
    </xf>
    <xf numFmtId="2" fontId="17" fillId="2" borderId="1" xfId="0" applyNumberFormat="1" applyFont="1" applyFill="1" applyBorder="1" applyAlignment="1">
      <alignment horizontal="right" vertical="top" wrapText="1"/>
    </xf>
    <xf numFmtId="0" fontId="0" fillId="0" borderId="32" xfId="0" applyBorder="1" applyAlignment="1">
      <alignment vertical="top" wrapText="1"/>
    </xf>
    <xf numFmtId="0" fontId="15" fillId="0" borderId="12" xfId="0" applyFont="1" applyBorder="1" applyAlignment="1">
      <alignment horizontal="left" vertical="top" wrapText="1"/>
    </xf>
    <xf numFmtId="0" fontId="15" fillId="0" borderId="14" xfId="0" applyFont="1" applyBorder="1" applyAlignment="1">
      <alignment horizontal="left" vertical="top" wrapText="1"/>
    </xf>
    <xf numFmtId="2" fontId="17" fillId="9" borderId="1" xfId="0" applyNumberFormat="1" applyFont="1" applyFill="1" applyBorder="1" applyAlignment="1">
      <alignment vertical="top" wrapText="1"/>
    </xf>
    <xf numFmtId="2" fontId="0" fillId="2" borderId="1" xfId="0" quotePrefix="1" applyNumberFormat="1" applyFill="1" applyBorder="1" applyAlignment="1">
      <alignment vertical="top" wrapText="1"/>
    </xf>
    <xf numFmtId="0" fontId="1" fillId="2" borderId="1" xfId="0" applyFont="1" applyFill="1" applyBorder="1" applyAlignment="1">
      <alignment textRotation="90"/>
    </xf>
    <xf numFmtId="0" fontId="0" fillId="0" borderId="0" xfId="0" applyAlignment="1">
      <alignment horizontal="left"/>
    </xf>
    <xf numFmtId="0" fontId="3" fillId="0" borderId="4" xfId="0" applyFont="1" applyBorder="1" applyAlignment="1">
      <alignment horizontal="right"/>
    </xf>
    <xf numFmtId="2" fontId="0" fillId="0" borderId="7" xfId="0" applyNumberFormat="1" applyBorder="1" applyAlignment="1">
      <alignment vertical="top"/>
    </xf>
    <xf numFmtId="2" fontId="0" fillId="0" borderId="24" xfId="0" applyNumberFormat="1" applyBorder="1" applyAlignment="1">
      <alignment vertical="top"/>
    </xf>
    <xf numFmtId="2" fontId="0" fillId="0" borderId="26" xfId="0" applyNumberFormat="1" applyBorder="1" applyAlignment="1">
      <alignment vertical="top"/>
    </xf>
    <xf numFmtId="2" fontId="0" fillId="0" borderId="31" xfId="0" applyNumberFormat="1" applyBorder="1" applyAlignment="1">
      <alignment vertical="top"/>
    </xf>
    <xf numFmtId="2" fontId="0" fillId="0" borderId="25" xfId="2" applyNumberFormat="1" applyFont="1" applyFill="1" applyBorder="1" applyAlignment="1">
      <alignment vertical="top"/>
    </xf>
    <xf numFmtId="2" fontId="0" fillId="0" borderId="28" xfId="2" applyNumberFormat="1" applyFont="1" applyFill="1" applyBorder="1" applyAlignment="1">
      <alignment vertical="top"/>
    </xf>
    <xf numFmtId="0" fontId="0" fillId="0" borderId="10" xfId="0" applyBorder="1" applyAlignment="1">
      <alignment vertical="top"/>
    </xf>
    <xf numFmtId="2" fontId="0" fillId="0" borderId="8" xfId="0" applyNumberFormat="1" applyBorder="1" applyAlignment="1">
      <alignment vertical="top"/>
    </xf>
    <xf numFmtId="2" fontId="0" fillId="0" borderId="36" xfId="0" applyNumberFormat="1" applyBorder="1" applyAlignment="1">
      <alignment vertical="top"/>
    </xf>
    <xf numFmtId="2" fontId="0" fillId="0" borderId="11" xfId="2" applyNumberFormat="1" applyFont="1" applyFill="1" applyBorder="1" applyAlignment="1">
      <alignment vertical="top"/>
    </xf>
    <xf numFmtId="2" fontId="0" fillId="0" borderId="2" xfId="2" applyNumberFormat="1" applyFont="1" applyFill="1" applyBorder="1" applyAlignment="1">
      <alignment vertical="top"/>
    </xf>
    <xf numFmtId="2" fontId="0" fillId="0" borderId="30" xfId="2" applyNumberFormat="1" applyFont="1" applyFill="1" applyBorder="1" applyAlignment="1">
      <alignment vertical="top"/>
    </xf>
    <xf numFmtId="0" fontId="0" fillId="6" borderId="1" xfId="0" applyFill="1" applyBorder="1"/>
    <xf numFmtId="2" fontId="17" fillId="2" borderId="1" xfId="0" applyNumberFormat="1" applyFont="1" applyFill="1" applyBorder="1" applyAlignment="1">
      <alignment vertical="top"/>
    </xf>
    <xf numFmtId="2" fontId="11" fillId="2" borderId="1" xfId="0" applyNumberFormat="1" applyFont="1" applyFill="1" applyBorder="1" applyAlignment="1">
      <alignment horizontal="right" vertical="top" wrapText="1"/>
    </xf>
    <xf numFmtId="0" fontId="11" fillId="0" borderId="1" xfId="0" applyFont="1" applyBorder="1" applyAlignment="1">
      <alignment vertical="top" wrapText="1"/>
    </xf>
    <xf numFmtId="0" fontId="10" fillId="2" borderId="1" xfId="0" applyFont="1" applyFill="1" applyBorder="1" applyAlignment="1">
      <alignment vertical="top"/>
    </xf>
    <xf numFmtId="0" fontId="10" fillId="2" borderId="2" xfId="0" applyFont="1" applyFill="1" applyBorder="1" applyAlignment="1">
      <alignment vertical="top"/>
    </xf>
    <xf numFmtId="0" fontId="10" fillId="10" borderId="1" xfId="0" applyFont="1" applyFill="1" applyBorder="1" applyAlignment="1">
      <alignment vertical="top" wrapText="1"/>
    </xf>
    <xf numFmtId="0" fontId="10" fillId="3" borderId="1" xfId="0" applyFont="1" applyFill="1" applyBorder="1" applyAlignment="1">
      <alignment vertical="top" wrapText="1"/>
    </xf>
    <xf numFmtId="0" fontId="10" fillId="7" borderId="16" xfId="0" applyFont="1" applyFill="1" applyBorder="1" applyAlignment="1">
      <alignment vertical="top"/>
    </xf>
    <xf numFmtId="0" fontId="1" fillId="2" borderId="16" xfId="0" applyFont="1" applyFill="1" applyBorder="1" applyAlignment="1">
      <alignment vertical="top"/>
    </xf>
    <xf numFmtId="0" fontId="10" fillId="7" borderId="17" xfId="0" applyFont="1" applyFill="1" applyBorder="1" applyAlignment="1">
      <alignment vertical="top"/>
    </xf>
    <xf numFmtId="0" fontId="10" fillId="7" borderId="18" xfId="0" applyFont="1" applyFill="1" applyBorder="1" applyAlignment="1">
      <alignment vertical="top"/>
    </xf>
    <xf numFmtId="0" fontId="10" fillId="4" borderId="1" xfId="0" applyFont="1" applyFill="1" applyBorder="1" applyAlignment="1">
      <alignment vertical="top"/>
    </xf>
    <xf numFmtId="0" fontId="10" fillId="4" borderId="2" xfId="0" applyFont="1" applyFill="1" applyBorder="1" applyAlignment="1">
      <alignment vertical="top"/>
    </xf>
    <xf numFmtId="0" fontId="10" fillId="11" borderId="1" xfId="0" applyFont="1" applyFill="1" applyBorder="1" applyAlignment="1">
      <alignment vertical="top" wrapText="1"/>
    </xf>
    <xf numFmtId="0" fontId="10" fillId="2" borderId="1" xfId="0" applyFont="1" applyFill="1" applyBorder="1" applyAlignment="1">
      <alignment vertical="top" wrapText="1"/>
    </xf>
    <xf numFmtId="0" fontId="10" fillId="2" borderId="2" xfId="0" applyFont="1" applyFill="1" applyBorder="1" applyAlignment="1">
      <alignment vertical="top" wrapText="1"/>
    </xf>
    <xf numFmtId="0" fontId="10" fillId="7" borderId="16" xfId="0" applyFont="1" applyFill="1" applyBorder="1" applyAlignment="1">
      <alignment vertical="top" wrapText="1"/>
    </xf>
    <xf numFmtId="0" fontId="1" fillId="2" borderId="16" xfId="0" applyFont="1" applyFill="1" applyBorder="1" applyAlignment="1">
      <alignment vertical="top" wrapText="1"/>
    </xf>
    <xf numFmtId="0" fontId="10" fillId="7" borderId="17" xfId="0" applyFont="1" applyFill="1" applyBorder="1" applyAlignment="1">
      <alignment vertical="top" wrapText="1"/>
    </xf>
    <xf numFmtId="0" fontId="10" fillId="7" borderId="18" xfId="0" applyFont="1" applyFill="1" applyBorder="1" applyAlignment="1">
      <alignment vertical="top" wrapText="1"/>
    </xf>
    <xf numFmtId="0" fontId="0" fillId="0" borderId="19" xfId="0" applyBorder="1" applyAlignment="1">
      <alignment vertical="top"/>
    </xf>
    <xf numFmtId="0" fontId="0" fillId="0" borderId="20" xfId="0" applyBorder="1" applyAlignment="1">
      <alignment vertical="top"/>
    </xf>
    <xf numFmtId="0" fontId="0" fillId="0" borderId="23" xfId="0" applyBorder="1" applyAlignment="1">
      <alignment vertical="top"/>
    </xf>
    <xf numFmtId="0" fontId="0" fillId="0" borderId="25" xfId="0" applyBorder="1" applyAlignment="1">
      <alignment vertical="top"/>
    </xf>
    <xf numFmtId="0" fontId="0" fillId="0" borderId="37" xfId="0" applyBorder="1" applyAlignment="1">
      <alignment vertical="top"/>
    </xf>
    <xf numFmtId="0" fontId="0" fillId="0" borderId="28" xfId="0" applyBorder="1" applyAlignment="1">
      <alignment vertical="top"/>
    </xf>
    <xf numFmtId="0" fontId="19" fillId="0" borderId="0" xfId="0" applyFont="1"/>
    <xf numFmtId="9" fontId="5" fillId="0" borderId="0" xfId="1" applyFont="1" applyAlignment="1">
      <alignment horizontal="right"/>
    </xf>
    <xf numFmtId="0" fontId="20" fillId="0" borderId="0" xfId="0" applyFont="1"/>
    <xf numFmtId="0" fontId="0" fillId="0" borderId="0" xfId="0" quotePrefix="1"/>
    <xf numFmtId="0" fontId="2" fillId="2" borderId="1" xfId="0" applyFont="1" applyFill="1" applyBorder="1" applyAlignment="1">
      <alignment wrapText="1"/>
    </xf>
    <xf numFmtId="0" fontId="0" fillId="5" borderId="1" xfId="0" applyFill="1" applyBorder="1"/>
    <xf numFmtId="0" fontId="0" fillId="5" borderId="2" xfId="0" applyFill="1" applyBorder="1" applyAlignment="1">
      <alignment vertical="top" wrapText="1"/>
    </xf>
    <xf numFmtId="2" fontId="17" fillId="9" borderId="1" xfId="0" applyNumberFormat="1" applyFont="1" applyFill="1" applyBorder="1" applyAlignment="1">
      <alignment horizontal="right" vertical="top" wrapText="1"/>
    </xf>
    <xf numFmtId="2" fontId="0" fillId="2" borderId="1" xfId="0" quotePrefix="1" applyNumberFormat="1" applyFill="1" applyBorder="1" applyAlignment="1">
      <alignment horizontal="right" vertical="top" wrapText="1"/>
    </xf>
    <xf numFmtId="0" fontId="3" fillId="0" borderId="0" xfId="0" applyFont="1" applyAlignment="1">
      <alignment horizontal="left" vertical="top"/>
    </xf>
    <xf numFmtId="14" fontId="15" fillId="0" borderId="13" xfId="0" applyNumberFormat="1" applyFont="1" applyBorder="1" applyAlignment="1">
      <alignment horizontal="left" vertical="top" wrapText="1"/>
    </xf>
    <xf numFmtId="0" fontId="3" fillId="0" borderId="24" xfId="0" applyFont="1" applyBorder="1" applyAlignment="1">
      <alignment vertical="top" wrapText="1"/>
    </xf>
    <xf numFmtId="0" fontId="3" fillId="2" borderId="1" xfId="0" applyFont="1" applyFill="1" applyBorder="1"/>
    <xf numFmtId="0" fontId="0" fillId="0" borderId="12" xfId="0" applyBorder="1"/>
    <xf numFmtId="0" fontId="0" fillId="0" borderId="13" xfId="0" applyBorder="1"/>
    <xf numFmtId="0" fontId="0" fillId="0" borderId="14" xfId="0" applyBorder="1"/>
    <xf numFmtId="0" fontId="3" fillId="2" borderId="32" xfId="0" applyFont="1" applyFill="1" applyBorder="1"/>
    <xf numFmtId="0" fontId="14" fillId="0" borderId="1" xfId="0" applyFont="1" applyBorder="1" applyAlignment="1">
      <alignment horizontal="left" vertical="top" wrapText="1"/>
    </xf>
    <xf numFmtId="0" fontId="14" fillId="0" borderId="25"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3" fillId="5" borderId="2" xfId="0" applyFont="1" applyFill="1" applyBorder="1" applyAlignment="1">
      <alignment horizontal="left" vertical="top" wrapText="1"/>
    </xf>
    <xf numFmtId="0" fontId="3" fillId="5" borderId="35"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35" xfId="0" applyFont="1" applyBorder="1" applyAlignment="1">
      <alignment horizontal="left" vertical="top" wrapText="1"/>
    </xf>
    <xf numFmtId="0" fontId="3" fillId="5" borderId="1"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0" borderId="24" xfId="0" applyFont="1" applyBorder="1" applyAlignment="1">
      <alignment horizontal="left" vertical="top" wrapText="1"/>
    </xf>
    <xf numFmtId="0" fontId="16" fillId="13" borderId="1" xfId="0" applyFont="1" applyFill="1" applyBorder="1" applyAlignment="1">
      <alignment horizontal="left" vertical="top" wrapText="1"/>
    </xf>
    <xf numFmtId="0" fontId="15"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9" fillId="13" borderId="32"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36" xfId="0" applyFont="1" applyBorder="1" applyAlignment="1">
      <alignment horizontal="left" vertical="top" wrapText="1"/>
    </xf>
    <xf numFmtId="0" fontId="1" fillId="5" borderId="1" xfId="0" applyFont="1" applyFill="1" applyBorder="1" applyAlignment="1">
      <alignment horizontal="left"/>
    </xf>
    <xf numFmtId="0" fontId="0" fillId="0" borderId="1" xfId="0" applyBorder="1" applyAlignment="1">
      <alignment horizontal="left" vertical="top" wrapText="1"/>
    </xf>
    <xf numFmtId="0" fontId="0" fillId="5" borderId="1" xfId="0" applyFill="1" applyBorder="1" applyAlignment="1">
      <alignment horizontal="left"/>
    </xf>
    <xf numFmtId="0" fontId="1" fillId="0" borderId="2" xfId="0" applyFont="1" applyBorder="1" applyAlignment="1">
      <alignment horizontal="center" vertical="top"/>
    </xf>
    <xf numFmtId="0" fontId="1" fillId="0" borderId="7" xfId="0" applyFont="1" applyBorder="1" applyAlignment="1">
      <alignment horizontal="center" vertical="top"/>
    </xf>
    <xf numFmtId="0" fontId="3" fillId="2" borderId="2"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0" fontId="3" fillId="2" borderId="1" xfId="0" applyFont="1" applyFill="1" applyBorder="1" applyAlignment="1">
      <alignment horizontal="left"/>
    </xf>
    <xf numFmtId="0" fontId="9" fillId="3" borderId="1" xfId="0" applyFont="1" applyFill="1" applyBorder="1" applyAlignment="1">
      <alignment horizontal="left"/>
    </xf>
    <xf numFmtId="0" fontId="1" fillId="2" borderId="1"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3" fillId="2" borderId="32" xfId="0" applyFont="1" applyFill="1" applyBorder="1" applyAlignment="1">
      <alignment horizontal="left"/>
    </xf>
    <xf numFmtId="0" fontId="3" fillId="2" borderId="11" xfId="0" applyFont="1" applyFill="1" applyBorder="1" applyAlignment="1">
      <alignment horizontal="center"/>
    </xf>
    <xf numFmtId="0" fontId="3" fillId="2" borderId="9" xfId="0" applyFont="1" applyFill="1" applyBorder="1" applyAlignment="1">
      <alignment horizontal="center"/>
    </xf>
    <xf numFmtId="0" fontId="3" fillId="2" borderId="8" xfId="0" applyFont="1" applyFill="1" applyBorder="1" applyAlignment="1">
      <alignment horizontal="center"/>
    </xf>
    <xf numFmtId="0" fontId="1" fillId="5" borderId="12" xfId="0" applyFont="1" applyFill="1" applyBorder="1" applyAlignment="1">
      <alignment horizontal="left"/>
    </xf>
    <xf numFmtId="0" fontId="1" fillId="5" borderId="14" xfId="0" applyFont="1" applyFill="1" applyBorder="1" applyAlignment="1">
      <alignment horizontal="left"/>
    </xf>
    <xf numFmtId="0" fontId="1" fillId="5" borderId="11" xfId="0" applyFont="1" applyFill="1" applyBorder="1" applyAlignment="1">
      <alignment horizontal="left"/>
    </xf>
    <xf numFmtId="0" fontId="1" fillId="5" borderId="8" xfId="0" applyFont="1" applyFill="1" applyBorder="1" applyAlignment="1">
      <alignment horizontal="left"/>
    </xf>
    <xf numFmtId="0" fontId="1" fillId="5" borderId="2" xfId="0" applyFont="1" applyFill="1" applyBorder="1" applyAlignment="1">
      <alignment horizontal="left"/>
    </xf>
    <xf numFmtId="0" fontId="1" fillId="5" borderId="6" xfId="0" applyFont="1" applyFill="1" applyBorder="1" applyAlignment="1">
      <alignment horizontal="left"/>
    </xf>
    <xf numFmtId="0" fontId="1" fillId="5" borderId="7" xfId="0" applyFont="1" applyFill="1" applyBorder="1" applyAlignment="1">
      <alignment horizontal="left"/>
    </xf>
    <xf numFmtId="0" fontId="0" fillId="0" borderId="1" xfId="0" applyBorder="1" applyAlignment="1">
      <alignment horizontal="left" vertical="top"/>
    </xf>
    <xf numFmtId="0" fontId="1" fillId="2" borderId="22" xfId="0" applyFont="1" applyFill="1" applyBorder="1" applyAlignment="1">
      <alignment horizontal="center" vertical="top"/>
    </xf>
    <xf numFmtId="0" fontId="1" fillId="2" borderId="23" xfId="0" applyFont="1" applyFill="1" applyBorder="1" applyAlignment="1">
      <alignment horizontal="center" vertical="top"/>
    </xf>
    <xf numFmtId="0" fontId="1" fillId="2" borderId="19" xfId="0" applyFont="1" applyFill="1" applyBorder="1" applyAlignment="1">
      <alignment horizontal="left" vertical="top"/>
    </xf>
    <xf numFmtId="0" fontId="1" fillId="2" borderId="24" xfId="0" applyFont="1" applyFill="1" applyBorder="1" applyAlignment="1">
      <alignment horizontal="left" vertical="top"/>
    </xf>
    <xf numFmtId="0" fontId="1" fillId="2" borderId="33" xfId="0" applyFont="1" applyFill="1" applyBorder="1" applyAlignment="1">
      <alignment horizontal="left" vertical="top"/>
    </xf>
    <xf numFmtId="0" fontId="1" fillId="2" borderId="20" xfId="0" applyFont="1" applyFill="1" applyBorder="1" applyAlignment="1">
      <alignment horizontal="left" vertical="top"/>
    </xf>
    <xf numFmtId="0" fontId="1" fillId="2" borderId="1" xfId="0" applyFont="1" applyFill="1" applyBorder="1" applyAlignment="1">
      <alignment horizontal="left" vertical="top"/>
    </xf>
    <xf numFmtId="0" fontId="1" fillId="2" borderId="32" xfId="0" applyFont="1" applyFill="1" applyBorder="1" applyAlignment="1">
      <alignment horizontal="left" vertical="top"/>
    </xf>
    <xf numFmtId="0" fontId="1" fillId="2" borderId="21" xfId="0" applyFont="1" applyFill="1" applyBorder="1" applyAlignment="1">
      <alignment horizontal="left" vertical="top"/>
    </xf>
    <xf numFmtId="0" fontId="1" fillId="2" borderId="2" xfId="0" applyFont="1" applyFill="1" applyBorder="1" applyAlignment="1">
      <alignment horizontal="left" vertical="top"/>
    </xf>
    <xf numFmtId="0" fontId="1" fillId="2" borderId="12" xfId="0" applyFont="1" applyFill="1" applyBorder="1" applyAlignment="1">
      <alignment horizontal="left" vertical="top"/>
    </xf>
    <xf numFmtId="0" fontId="1" fillId="2" borderId="19" xfId="0" applyFont="1" applyFill="1" applyBorder="1" applyAlignment="1">
      <alignment horizontal="center" vertical="top"/>
    </xf>
    <xf numFmtId="0" fontId="1" fillId="2" borderId="21" xfId="0" applyFont="1" applyFill="1" applyBorder="1" applyAlignment="1">
      <alignment horizontal="center" vertical="top"/>
    </xf>
    <xf numFmtId="0" fontId="1" fillId="2" borderId="24" xfId="0" applyFont="1" applyFill="1" applyBorder="1" applyAlignment="1">
      <alignment horizontal="center" vertical="top"/>
    </xf>
    <xf numFmtId="0" fontId="1" fillId="2" borderId="25" xfId="0" applyFont="1" applyFill="1" applyBorder="1" applyAlignment="1">
      <alignment horizontal="center" vertical="top"/>
    </xf>
    <xf numFmtId="0" fontId="1" fillId="2" borderId="7" xfId="0" applyFont="1" applyFill="1" applyBorder="1" applyAlignment="1">
      <alignment horizontal="center" vertical="top"/>
    </xf>
    <xf numFmtId="0" fontId="1" fillId="2" borderId="2" xfId="0" applyFont="1" applyFill="1" applyBorder="1" applyAlignment="1">
      <alignment horizontal="center" vertical="top"/>
    </xf>
    <xf numFmtId="0" fontId="1" fillId="2" borderId="1" xfId="0" applyFont="1" applyFill="1" applyBorder="1" applyAlignment="1">
      <alignment horizontal="left" wrapText="1"/>
    </xf>
    <xf numFmtId="0" fontId="1" fillId="2" borderId="1" xfId="0" applyFont="1" applyFill="1" applyBorder="1" applyAlignment="1">
      <alignment horizontal="left" textRotation="90" wrapText="1"/>
    </xf>
    <xf numFmtId="0" fontId="1" fillId="2" borderId="1" xfId="0" applyFont="1" applyFill="1" applyBorder="1" applyAlignment="1">
      <alignment horizontal="left" textRotation="90"/>
    </xf>
    <xf numFmtId="0" fontId="10" fillId="10" borderId="1" xfId="0" applyFont="1" applyFill="1" applyBorder="1" applyAlignment="1">
      <alignment horizontal="center" wrapText="1"/>
    </xf>
    <xf numFmtId="0" fontId="10" fillId="10" borderId="1" xfId="0" applyFont="1" applyFill="1" applyBorder="1" applyAlignment="1">
      <alignment horizontal="center" vertical="top"/>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7" xfId="0" applyFont="1" applyFill="1" applyBorder="1" applyAlignment="1">
      <alignment horizontal="center"/>
    </xf>
    <xf numFmtId="0" fontId="9" fillId="10" borderId="2" xfId="0" applyFont="1" applyFill="1" applyBorder="1" applyAlignment="1">
      <alignment horizontal="center"/>
    </xf>
    <xf numFmtId="0" fontId="9" fillId="10" borderId="6" xfId="0" applyFont="1" applyFill="1" applyBorder="1" applyAlignment="1">
      <alignment horizontal="center"/>
    </xf>
    <xf numFmtId="0" fontId="9" fillId="10" borderId="1" xfId="0" applyFont="1" applyFill="1" applyBorder="1" applyAlignment="1">
      <alignment horizontal="center"/>
    </xf>
    <xf numFmtId="0" fontId="10" fillId="3" borderId="1" xfId="0" applyFont="1" applyFill="1" applyBorder="1" applyAlignment="1">
      <alignment horizontal="left"/>
    </xf>
    <xf numFmtId="0" fontId="10" fillId="2" borderId="1" xfId="0" applyFont="1" applyFill="1" applyBorder="1" applyAlignment="1">
      <alignment horizontal="center"/>
    </xf>
    <xf numFmtId="0" fontId="10" fillId="3" borderId="1" xfId="0" applyFont="1" applyFill="1" applyBorder="1" applyAlignment="1">
      <alignment horizontal="left" wrapText="1"/>
    </xf>
    <xf numFmtId="0" fontId="10" fillId="2" borderId="1" xfId="0" applyFont="1" applyFill="1" applyBorder="1" applyAlignment="1">
      <alignment horizontal="center" wrapText="1"/>
    </xf>
    <xf numFmtId="0" fontId="1" fillId="2" borderId="1" xfId="0" applyFont="1" applyFill="1" applyBorder="1" applyAlignment="1">
      <alignment wrapText="1"/>
    </xf>
    <xf numFmtId="0" fontId="1" fillId="2" borderId="1" xfId="0" applyFont="1" applyFill="1" applyBorder="1" applyAlignment="1">
      <alignment horizontal="center" wrapText="1"/>
    </xf>
  </cellXfs>
  <cellStyles count="3">
    <cellStyle name="Ongeldig" xfId="2" builtinId="27"/>
    <cellStyle name="Procent" xfId="1" builtinId="5"/>
    <cellStyle name="Standaard" xfId="0" builtinId="0"/>
  </cellStyles>
  <dxfs count="55">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ill>
        <patternFill>
          <bgColor rgb="FF92D050"/>
        </patternFill>
      </fill>
    </dxf>
    <dxf>
      <fill>
        <patternFill>
          <bgColor rgb="FFFFC000"/>
        </patternFill>
      </fill>
    </dxf>
    <dxf>
      <font>
        <color theme="0"/>
      </font>
      <fill>
        <patternFill>
          <bgColor rgb="FFFF0000"/>
        </patternFill>
      </fill>
    </dxf>
    <dxf>
      <font>
        <color theme="1"/>
      </font>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9" Type="http://schemas.openxmlformats.org/officeDocument/2006/relationships/customXml" Target="../customXml/item5.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Types" Target="richData/rdRichValueType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Structure" Target="richData/rdrichvaluestructure.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Fosfor</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nl-NL"/>
        </a:p>
      </c:txPr>
    </c:title>
    <c:autoTitleDeleted val="0"/>
    <c:plotArea>
      <c:layout/>
      <c:lineChart>
        <c:grouping val="standard"/>
        <c:varyColors val="0"/>
        <c:ser>
          <c:idx val="0"/>
          <c:order val="0"/>
          <c:tx>
            <c:strRef>
              <c:f>Sheet!$T$29</c:f>
              <c:strCache>
                <c:ptCount val="1"/>
                <c:pt idx="0">
                  <c:v>Zomer gemiddeld</c:v>
                </c:pt>
              </c:strCache>
            </c:strRef>
          </c:tx>
          <c:spPr>
            <a:ln w="22225" cap="rnd">
              <a:noFill/>
              <a:round/>
            </a:ln>
            <a:effectLst/>
          </c:spPr>
          <c:marker>
            <c:symbol val="circle"/>
            <c:size val="8"/>
            <c:spPr>
              <a:solidFill>
                <a:srgbClr val="00B0F0"/>
              </a:solidFill>
              <a:ln w="9525">
                <a:solidFill>
                  <a:schemeClr val="accent1"/>
                </a:solidFill>
              </a:ln>
              <a:effectLst/>
            </c:spPr>
          </c:marker>
          <c:cat>
            <c:numRef>
              <c:f>Sheet!$U$28:$AG$28</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Sheet!$U$29:$AG$29</c:f>
              <c:numCache>
                <c:formatCode>General</c:formatCode>
                <c:ptCount val="13"/>
                <c:pt idx="0">
                  <c:v>6.2E-2</c:v>
                </c:pt>
                <c:pt idx="1">
                  <c:v>7.6999999999999999E-2</c:v>
                </c:pt>
                <c:pt idx="2">
                  <c:v>0.06</c:v>
                </c:pt>
                <c:pt idx="3">
                  <c:v>8.2000000000000003E-2</c:v>
                </c:pt>
                <c:pt idx="4">
                  <c:v>6.5000000000000002E-2</c:v>
                </c:pt>
                <c:pt idx="5">
                  <c:v>7.3999999999999996E-2</c:v>
                </c:pt>
                <c:pt idx="6">
                  <c:v>6.4000000000000001E-2</c:v>
                </c:pt>
                <c:pt idx="7">
                  <c:v>6.4000000000000001E-2</c:v>
                </c:pt>
                <c:pt idx="8">
                  <c:v>6.3E-2</c:v>
                </c:pt>
                <c:pt idx="9">
                  <c:v>6.5000000000000002E-2</c:v>
                </c:pt>
                <c:pt idx="10">
                  <c:v>0.04</c:v>
                </c:pt>
                <c:pt idx="11">
                  <c:v>4.2000000000000003E-2</c:v>
                </c:pt>
                <c:pt idx="12">
                  <c:v>4.4999999999999998E-2</c:v>
                </c:pt>
              </c:numCache>
            </c:numRef>
          </c:val>
          <c:smooth val="0"/>
          <c:extLst>
            <c:ext xmlns:c16="http://schemas.microsoft.com/office/drawing/2014/chart" uri="{C3380CC4-5D6E-409C-BE32-E72D297353CC}">
              <c16:uniqueId val="{00000000-B768-4312-9142-2E4A1A2170FD}"/>
            </c:ext>
          </c:extLst>
        </c:ser>
        <c:ser>
          <c:idx val="1"/>
          <c:order val="1"/>
          <c:tx>
            <c:strRef>
              <c:f>Sheet!$T$30</c:f>
              <c:strCache>
                <c:ptCount val="1"/>
                <c:pt idx="0">
                  <c:v>GEP4</c:v>
                </c:pt>
              </c:strCache>
            </c:strRef>
          </c:tx>
          <c:spPr>
            <a:ln w="22225" cap="rnd">
              <a:solidFill>
                <a:srgbClr val="FF0000"/>
              </a:solidFill>
              <a:prstDash val="sysDash"/>
              <a:round/>
            </a:ln>
            <a:effectLst/>
          </c:spPr>
          <c:marker>
            <c:symbol val="none"/>
          </c:marker>
          <c:cat>
            <c:numRef>
              <c:f>Sheet!$U$28:$AG$28</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Sheet!$U$30:$AG$30</c:f>
              <c:numCache>
                <c:formatCode>General</c:formatCode>
                <c:ptCount val="13"/>
                <c:pt idx="0">
                  <c:v>0.1</c:v>
                </c:pt>
                <c:pt idx="1">
                  <c:v>0.1</c:v>
                </c:pt>
                <c:pt idx="2">
                  <c:v>0.1</c:v>
                </c:pt>
                <c:pt idx="3">
                  <c:v>0.1</c:v>
                </c:pt>
                <c:pt idx="4">
                  <c:v>0.1</c:v>
                </c:pt>
                <c:pt idx="5">
                  <c:v>0.1</c:v>
                </c:pt>
                <c:pt idx="6">
                  <c:v>0.1</c:v>
                </c:pt>
                <c:pt idx="7">
                  <c:v>0.1</c:v>
                </c:pt>
                <c:pt idx="8">
                  <c:v>0.1</c:v>
                </c:pt>
                <c:pt idx="9">
                  <c:v>0.1</c:v>
                </c:pt>
                <c:pt idx="10">
                  <c:v>0.1</c:v>
                </c:pt>
                <c:pt idx="11">
                  <c:v>0.1</c:v>
                </c:pt>
                <c:pt idx="12">
                  <c:v>0.1</c:v>
                </c:pt>
              </c:numCache>
            </c:numRef>
          </c:val>
          <c:smooth val="0"/>
          <c:extLst>
            <c:ext xmlns:c16="http://schemas.microsoft.com/office/drawing/2014/chart" uri="{C3380CC4-5D6E-409C-BE32-E72D297353CC}">
              <c16:uniqueId val="{00000001-B768-4312-9142-2E4A1A2170FD}"/>
            </c:ext>
          </c:extLst>
        </c:ser>
        <c:dLbls>
          <c:showLegendKey val="0"/>
          <c:showVal val="0"/>
          <c:showCatName val="0"/>
          <c:showSerName val="0"/>
          <c:showPercent val="0"/>
          <c:showBubbleSize val="0"/>
        </c:dLbls>
        <c:marker val="1"/>
        <c:smooth val="0"/>
        <c:axId val="665941072"/>
        <c:axId val="665935312"/>
      </c:lineChart>
      <c:catAx>
        <c:axId val="6659410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nl-NL"/>
          </a:p>
        </c:txPr>
        <c:crossAx val="665935312"/>
        <c:crosses val="autoZero"/>
        <c:auto val="1"/>
        <c:lblAlgn val="ctr"/>
        <c:lblOffset val="100"/>
        <c:noMultiLvlLbl val="0"/>
      </c:catAx>
      <c:valAx>
        <c:axId val="665935312"/>
        <c:scaling>
          <c:orientation val="minMax"/>
          <c:min val="1.0000000000000004E-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t>mgP/l</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title>
        <c:numFmt formatCode="#,##0.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crossAx val="66594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3887352675058E-2"/>
          <c:y val="2.2945348352106799E-2"/>
          <c:w val="0.34950979494250639"/>
          <c:h val="0.92883131473396863"/>
        </c:manualLayout>
      </c:layout>
      <c:barChart>
        <c:barDir val="col"/>
        <c:grouping val="percentStacked"/>
        <c:varyColors val="0"/>
        <c:ser>
          <c:idx val="0"/>
          <c:order val="0"/>
          <c:tx>
            <c:strRef>
              <c:f>Sheet!$U$91</c:f>
              <c:strCache>
                <c:ptCount val="1"/>
                <c:pt idx="0">
                  <c:v>Bemesting
actueel</c:v>
                </c:pt>
              </c:strCache>
            </c:strRef>
          </c:tx>
          <c:spPr>
            <a:solidFill>
              <a:schemeClr val="accent2">
                <a:lumMod val="50000"/>
              </a:schemeClr>
            </a:solidFill>
            <a:ln>
              <a:noFill/>
            </a:ln>
            <a:effectLst/>
          </c:spPr>
          <c:invertIfNegative val="0"/>
          <c:cat>
            <c:strRef>
              <c:f>Sheet!$T$92</c:f>
              <c:strCache>
                <c:ptCount val="1"/>
                <c:pt idx="0">
                  <c:v>Legenda</c:v>
                </c:pt>
              </c:strCache>
            </c:strRef>
          </c:cat>
          <c:val>
            <c:numRef>
              <c:f>Sheet!$U$92</c:f>
              <c:numCache>
                <c:formatCode>General</c:formatCode>
                <c:ptCount val="1"/>
                <c:pt idx="0">
                  <c:v>1</c:v>
                </c:pt>
              </c:numCache>
            </c:numRef>
          </c:val>
          <c:extLst>
            <c:ext xmlns:c16="http://schemas.microsoft.com/office/drawing/2014/chart" uri="{C3380CC4-5D6E-409C-BE32-E72D297353CC}">
              <c16:uniqueId val="{00000000-5FE7-4156-B068-8403258CA569}"/>
            </c:ext>
          </c:extLst>
        </c:ser>
        <c:ser>
          <c:idx val="1"/>
          <c:order val="1"/>
          <c:tx>
            <c:strRef>
              <c:f>Sheet!$V$91</c:f>
              <c:strCache>
                <c:ptCount val="1"/>
                <c:pt idx="0">
                  <c:v>Bemesting
historisch</c:v>
                </c:pt>
              </c:strCache>
            </c:strRef>
          </c:tx>
          <c:spPr>
            <a:pattFill prst="dkUpDiag">
              <a:fgClr>
                <a:schemeClr val="accent2">
                  <a:lumMod val="50000"/>
                </a:schemeClr>
              </a:fgClr>
              <a:bgClr>
                <a:schemeClr val="bg1"/>
              </a:bgClr>
            </a:pattFill>
            <a:ln>
              <a:noFill/>
            </a:ln>
            <a:effectLst/>
          </c:spPr>
          <c:invertIfNegative val="0"/>
          <c:cat>
            <c:strRef>
              <c:f>Sheet!$T$92</c:f>
              <c:strCache>
                <c:ptCount val="1"/>
                <c:pt idx="0">
                  <c:v>Legenda</c:v>
                </c:pt>
              </c:strCache>
            </c:strRef>
          </c:cat>
          <c:val>
            <c:numRef>
              <c:f>Sheet!$V$92</c:f>
              <c:numCache>
                <c:formatCode>General</c:formatCode>
                <c:ptCount val="1"/>
                <c:pt idx="0">
                  <c:v>1</c:v>
                </c:pt>
              </c:numCache>
            </c:numRef>
          </c:val>
          <c:extLst>
            <c:ext xmlns:c16="http://schemas.microsoft.com/office/drawing/2014/chart" uri="{C3380CC4-5D6E-409C-BE32-E72D297353CC}">
              <c16:uniqueId val="{00000001-5FE7-4156-B068-8403258CA569}"/>
            </c:ext>
          </c:extLst>
        </c:ser>
        <c:ser>
          <c:idx val="2"/>
          <c:order val="2"/>
          <c:tx>
            <c:strRef>
              <c:f>Sheet!$W$91</c:f>
              <c:strCache>
                <c:ptCount val="1"/>
                <c:pt idx="0">
                  <c:v>Depositie</c:v>
                </c:pt>
              </c:strCache>
            </c:strRef>
          </c:tx>
          <c:spPr>
            <a:pattFill prst="dkUpDiag">
              <a:fgClr>
                <a:srgbClr val="FFFF00"/>
              </a:fgClr>
              <a:bgClr>
                <a:schemeClr val="bg2">
                  <a:lumMod val="50000"/>
                </a:schemeClr>
              </a:bgClr>
            </a:pattFill>
            <a:ln>
              <a:noFill/>
            </a:ln>
            <a:effectLst/>
          </c:spPr>
          <c:invertIfNegative val="0"/>
          <c:cat>
            <c:strRef>
              <c:f>Sheet!$T$92</c:f>
              <c:strCache>
                <c:ptCount val="1"/>
                <c:pt idx="0">
                  <c:v>Legenda</c:v>
                </c:pt>
              </c:strCache>
            </c:strRef>
          </c:cat>
          <c:val>
            <c:numRef>
              <c:f>Sheet!$W$92</c:f>
              <c:numCache>
                <c:formatCode>General</c:formatCode>
                <c:ptCount val="1"/>
                <c:pt idx="0">
                  <c:v>1</c:v>
                </c:pt>
              </c:numCache>
            </c:numRef>
          </c:val>
          <c:extLst>
            <c:ext xmlns:c16="http://schemas.microsoft.com/office/drawing/2014/chart" uri="{C3380CC4-5D6E-409C-BE32-E72D297353CC}">
              <c16:uniqueId val="{00000002-5FE7-4156-B068-8403258CA569}"/>
            </c:ext>
          </c:extLst>
        </c:ser>
        <c:ser>
          <c:idx val="3"/>
          <c:order val="3"/>
          <c:tx>
            <c:strRef>
              <c:f>Sheet!$X$91</c:f>
              <c:strCache>
                <c:ptCount val="1"/>
                <c:pt idx="0">
                  <c:v>Infiltratie</c:v>
                </c:pt>
              </c:strCache>
            </c:strRef>
          </c:tx>
          <c:spPr>
            <a:pattFill prst="pct75">
              <a:fgClr>
                <a:srgbClr val="0070C0"/>
              </a:fgClr>
              <a:bgClr>
                <a:schemeClr val="bg1"/>
              </a:bgClr>
            </a:pattFill>
            <a:ln>
              <a:noFill/>
            </a:ln>
            <a:effectLst/>
          </c:spPr>
          <c:invertIfNegative val="0"/>
          <c:cat>
            <c:strRef>
              <c:f>Sheet!$T$92</c:f>
              <c:strCache>
                <c:ptCount val="1"/>
                <c:pt idx="0">
                  <c:v>Legenda</c:v>
                </c:pt>
              </c:strCache>
            </c:strRef>
          </c:cat>
          <c:val>
            <c:numRef>
              <c:f>Sheet!$X$92</c:f>
              <c:numCache>
                <c:formatCode>General</c:formatCode>
                <c:ptCount val="1"/>
                <c:pt idx="0">
                  <c:v>1</c:v>
                </c:pt>
              </c:numCache>
            </c:numRef>
          </c:val>
          <c:extLst>
            <c:ext xmlns:c16="http://schemas.microsoft.com/office/drawing/2014/chart" uri="{C3380CC4-5D6E-409C-BE32-E72D297353CC}">
              <c16:uniqueId val="{00000003-5FE7-4156-B068-8403258CA569}"/>
            </c:ext>
          </c:extLst>
        </c:ser>
        <c:ser>
          <c:idx val="4"/>
          <c:order val="4"/>
          <c:tx>
            <c:strRef>
              <c:f>Sheet!$Y$91</c:f>
              <c:strCache>
                <c:ptCount val="1"/>
                <c:pt idx="0">
                  <c:v>Kwel</c:v>
                </c:pt>
              </c:strCache>
            </c:strRef>
          </c:tx>
          <c:spPr>
            <a:pattFill prst="pct70">
              <a:fgClr>
                <a:schemeClr val="bg1"/>
              </a:fgClr>
              <a:bgClr>
                <a:srgbClr val="0070C0"/>
              </a:bgClr>
            </a:pattFill>
            <a:ln>
              <a:noFill/>
            </a:ln>
            <a:effectLst/>
          </c:spPr>
          <c:invertIfNegative val="0"/>
          <c:cat>
            <c:strRef>
              <c:f>Sheet!$T$92</c:f>
              <c:strCache>
                <c:ptCount val="1"/>
                <c:pt idx="0">
                  <c:v>Legenda</c:v>
                </c:pt>
              </c:strCache>
            </c:strRef>
          </c:cat>
          <c:val>
            <c:numRef>
              <c:f>Sheet!$Y$92</c:f>
              <c:numCache>
                <c:formatCode>General</c:formatCode>
                <c:ptCount val="1"/>
                <c:pt idx="0">
                  <c:v>1</c:v>
                </c:pt>
              </c:numCache>
            </c:numRef>
          </c:val>
          <c:extLst>
            <c:ext xmlns:c16="http://schemas.microsoft.com/office/drawing/2014/chart" uri="{C3380CC4-5D6E-409C-BE32-E72D297353CC}">
              <c16:uniqueId val="{00000004-5FE7-4156-B068-8403258CA569}"/>
            </c:ext>
          </c:extLst>
        </c:ser>
        <c:ser>
          <c:idx val="5"/>
          <c:order val="5"/>
          <c:tx>
            <c:strRef>
              <c:f>Sheet!$Z$91</c:f>
              <c:strCache>
                <c:ptCount val="1"/>
                <c:pt idx="0">
                  <c:v>Mineralisatie
en uitloging</c:v>
                </c:pt>
              </c:strCache>
            </c:strRef>
          </c:tx>
          <c:spPr>
            <a:pattFill prst="pct70">
              <a:fgClr>
                <a:schemeClr val="accent2">
                  <a:lumMod val="50000"/>
                </a:schemeClr>
              </a:fgClr>
              <a:bgClr>
                <a:schemeClr val="bg1"/>
              </a:bgClr>
            </a:pattFill>
            <a:ln>
              <a:noFill/>
            </a:ln>
            <a:effectLst/>
          </c:spPr>
          <c:invertIfNegative val="0"/>
          <c:cat>
            <c:strRef>
              <c:f>Sheet!$T$92</c:f>
              <c:strCache>
                <c:ptCount val="1"/>
                <c:pt idx="0">
                  <c:v>Legenda</c:v>
                </c:pt>
              </c:strCache>
            </c:strRef>
          </c:cat>
          <c:val>
            <c:numRef>
              <c:f>Sheet!$Z$92</c:f>
              <c:numCache>
                <c:formatCode>General</c:formatCode>
                <c:ptCount val="1"/>
                <c:pt idx="0">
                  <c:v>1</c:v>
                </c:pt>
              </c:numCache>
            </c:numRef>
          </c:val>
          <c:extLst>
            <c:ext xmlns:c16="http://schemas.microsoft.com/office/drawing/2014/chart" uri="{C3380CC4-5D6E-409C-BE32-E72D297353CC}">
              <c16:uniqueId val="{00000005-5FE7-4156-B068-8403258CA569}"/>
            </c:ext>
          </c:extLst>
        </c:ser>
        <c:ser>
          <c:idx val="6"/>
          <c:order val="6"/>
          <c:tx>
            <c:strRef>
              <c:f>Sheet!$AA$91</c:f>
              <c:strCache>
                <c:ptCount val="1"/>
                <c:pt idx="0">
                  <c:v>Natuurgronden</c:v>
                </c:pt>
              </c:strCache>
            </c:strRef>
          </c:tx>
          <c:spPr>
            <a:solidFill>
              <a:schemeClr val="accent6">
                <a:lumMod val="75000"/>
              </a:schemeClr>
            </a:solidFill>
            <a:ln>
              <a:noFill/>
            </a:ln>
            <a:effectLst/>
          </c:spPr>
          <c:invertIfNegative val="0"/>
          <c:cat>
            <c:strRef>
              <c:f>Sheet!$T$92</c:f>
              <c:strCache>
                <c:ptCount val="1"/>
                <c:pt idx="0">
                  <c:v>Legenda</c:v>
                </c:pt>
              </c:strCache>
            </c:strRef>
          </c:cat>
          <c:val>
            <c:numRef>
              <c:f>Sheet!$AA$92</c:f>
              <c:numCache>
                <c:formatCode>General</c:formatCode>
                <c:ptCount val="1"/>
                <c:pt idx="0">
                  <c:v>1</c:v>
                </c:pt>
              </c:numCache>
            </c:numRef>
          </c:val>
          <c:extLst>
            <c:ext xmlns:c16="http://schemas.microsoft.com/office/drawing/2014/chart" uri="{C3380CC4-5D6E-409C-BE32-E72D297353CC}">
              <c16:uniqueId val="{00000006-5FE7-4156-B068-8403258CA569}"/>
            </c:ext>
          </c:extLst>
        </c:ser>
        <c:ser>
          <c:idx val="7"/>
          <c:order val="7"/>
          <c:tx>
            <c:strRef>
              <c:f>Sheet!$AB$91</c:f>
              <c:strCache>
                <c:ptCount val="1"/>
                <c:pt idx="0">
                  <c:v>Directe kwel</c:v>
                </c:pt>
              </c:strCache>
            </c:strRef>
          </c:tx>
          <c:spPr>
            <a:solidFill>
              <a:schemeClr val="accent2">
                <a:lumMod val="40000"/>
                <a:lumOff val="60000"/>
              </a:schemeClr>
            </a:solidFill>
            <a:ln>
              <a:noFill/>
            </a:ln>
            <a:effectLst/>
          </c:spPr>
          <c:invertIfNegative val="0"/>
          <c:cat>
            <c:strRef>
              <c:f>Sheet!$T$92</c:f>
              <c:strCache>
                <c:ptCount val="1"/>
                <c:pt idx="0">
                  <c:v>Legenda</c:v>
                </c:pt>
              </c:strCache>
            </c:strRef>
          </c:cat>
          <c:val>
            <c:numRef>
              <c:f>Sheet!$AB$92</c:f>
              <c:numCache>
                <c:formatCode>General</c:formatCode>
                <c:ptCount val="1"/>
                <c:pt idx="0">
                  <c:v>1</c:v>
                </c:pt>
              </c:numCache>
            </c:numRef>
          </c:val>
          <c:extLst>
            <c:ext xmlns:c16="http://schemas.microsoft.com/office/drawing/2014/chart" uri="{C3380CC4-5D6E-409C-BE32-E72D297353CC}">
              <c16:uniqueId val="{00000007-5FE7-4156-B068-8403258CA569}"/>
            </c:ext>
          </c:extLst>
        </c:ser>
        <c:ser>
          <c:idx val="8"/>
          <c:order val="8"/>
          <c:tx>
            <c:strRef>
              <c:f>Sheet!$AC$91</c:f>
              <c:strCache>
                <c:ptCount val="1"/>
                <c:pt idx="0">
                  <c:v>Erfafspoeling</c:v>
                </c:pt>
              </c:strCache>
            </c:strRef>
          </c:tx>
          <c:spPr>
            <a:pattFill prst="horzBrick">
              <a:fgClr>
                <a:schemeClr val="accent2">
                  <a:lumMod val="50000"/>
                </a:schemeClr>
              </a:fgClr>
              <a:bgClr>
                <a:schemeClr val="bg1"/>
              </a:bgClr>
            </a:pattFill>
            <a:ln>
              <a:noFill/>
            </a:ln>
            <a:effectLst/>
          </c:spPr>
          <c:invertIfNegative val="0"/>
          <c:cat>
            <c:strRef>
              <c:f>Sheet!$T$92</c:f>
              <c:strCache>
                <c:ptCount val="1"/>
                <c:pt idx="0">
                  <c:v>Legenda</c:v>
                </c:pt>
              </c:strCache>
            </c:strRef>
          </c:cat>
          <c:val>
            <c:numRef>
              <c:f>Sheet!$AC$92</c:f>
              <c:numCache>
                <c:formatCode>General</c:formatCode>
                <c:ptCount val="1"/>
                <c:pt idx="0">
                  <c:v>1</c:v>
                </c:pt>
              </c:numCache>
            </c:numRef>
          </c:val>
          <c:extLst>
            <c:ext xmlns:c16="http://schemas.microsoft.com/office/drawing/2014/chart" uri="{C3380CC4-5D6E-409C-BE32-E72D297353CC}">
              <c16:uniqueId val="{00000008-5FE7-4156-B068-8403258CA569}"/>
            </c:ext>
          </c:extLst>
        </c:ser>
        <c:ser>
          <c:idx val="9"/>
          <c:order val="9"/>
          <c:tx>
            <c:strRef>
              <c:f>Sheet!$AD$91</c:f>
              <c:strCache>
                <c:ptCount val="1"/>
                <c:pt idx="0">
                  <c:v>Glastuinbouw</c:v>
                </c:pt>
              </c:strCache>
            </c:strRef>
          </c:tx>
          <c:spPr>
            <a:pattFill prst="dkDnDiag">
              <a:fgClr>
                <a:srgbClr val="FF0000"/>
              </a:fgClr>
              <a:bgClr>
                <a:schemeClr val="bg1"/>
              </a:bgClr>
            </a:pattFill>
            <a:ln>
              <a:noFill/>
            </a:ln>
            <a:effectLst/>
          </c:spPr>
          <c:invertIfNegative val="0"/>
          <c:cat>
            <c:strRef>
              <c:f>Sheet!$T$92</c:f>
              <c:strCache>
                <c:ptCount val="1"/>
                <c:pt idx="0">
                  <c:v>Legenda</c:v>
                </c:pt>
              </c:strCache>
            </c:strRef>
          </c:cat>
          <c:val>
            <c:numRef>
              <c:f>Sheet!$AD$92</c:f>
              <c:numCache>
                <c:formatCode>General</c:formatCode>
                <c:ptCount val="1"/>
                <c:pt idx="0">
                  <c:v>1</c:v>
                </c:pt>
              </c:numCache>
            </c:numRef>
          </c:val>
          <c:extLst>
            <c:ext xmlns:c16="http://schemas.microsoft.com/office/drawing/2014/chart" uri="{C3380CC4-5D6E-409C-BE32-E72D297353CC}">
              <c16:uniqueId val="{00000009-5FE7-4156-B068-8403258CA569}"/>
            </c:ext>
          </c:extLst>
        </c:ser>
        <c:ser>
          <c:idx val="10"/>
          <c:order val="10"/>
          <c:tx>
            <c:strRef>
              <c:f>Sheet!$AE$91</c:f>
              <c:strCache>
                <c:ptCount val="1"/>
                <c:pt idx="0">
                  <c:v>Meemesten</c:v>
                </c:pt>
              </c:strCache>
            </c:strRef>
          </c:tx>
          <c:spPr>
            <a:pattFill prst="dkUpDiag">
              <a:fgClr>
                <a:schemeClr val="accent2">
                  <a:lumMod val="50000"/>
                </a:schemeClr>
              </a:fgClr>
              <a:bgClr>
                <a:schemeClr val="bg1"/>
              </a:bgClr>
            </a:pattFill>
            <a:ln>
              <a:noFill/>
            </a:ln>
            <a:effectLst/>
          </c:spPr>
          <c:invertIfNegative val="0"/>
          <c:cat>
            <c:strRef>
              <c:f>Sheet!$T$92</c:f>
              <c:strCache>
                <c:ptCount val="1"/>
                <c:pt idx="0">
                  <c:v>Legenda</c:v>
                </c:pt>
              </c:strCache>
            </c:strRef>
          </c:cat>
          <c:val>
            <c:numRef>
              <c:f>Sheet!$AE$92</c:f>
              <c:numCache>
                <c:formatCode>General</c:formatCode>
                <c:ptCount val="1"/>
                <c:pt idx="0">
                  <c:v>1</c:v>
                </c:pt>
              </c:numCache>
            </c:numRef>
          </c:val>
          <c:extLst>
            <c:ext xmlns:c16="http://schemas.microsoft.com/office/drawing/2014/chart" uri="{C3380CC4-5D6E-409C-BE32-E72D297353CC}">
              <c16:uniqueId val="{0000000A-5FE7-4156-B068-8403258CA569}"/>
            </c:ext>
          </c:extLst>
        </c:ser>
        <c:ser>
          <c:idx val="11"/>
          <c:order val="11"/>
          <c:tx>
            <c:strRef>
              <c:f>Sheet!$AF$91</c:f>
              <c:strCache>
                <c:ptCount val="1"/>
                <c:pt idx="0">
                  <c:v>RWZI</c:v>
                </c:pt>
              </c:strCache>
            </c:strRef>
          </c:tx>
          <c:spPr>
            <a:pattFill prst="dkUpDiag">
              <a:fgClr>
                <a:srgbClr val="FF0000"/>
              </a:fgClr>
              <a:bgClr>
                <a:schemeClr val="bg1"/>
              </a:bgClr>
            </a:pattFill>
            <a:ln>
              <a:noFill/>
            </a:ln>
            <a:effectLst/>
          </c:spPr>
          <c:invertIfNegative val="0"/>
          <c:cat>
            <c:strRef>
              <c:f>Sheet!$T$92</c:f>
              <c:strCache>
                <c:ptCount val="1"/>
                <c:pt idx="0">
                  <c:v>Legenda</c:v>
                </c:pt>
              </c:strCache>
            </c:strRef>
          </c:cat>
          <c:val>
            <c:numRef>
              <c:f>Sheet!$AF$92</c:f>
              <c:numCache>
                <c:formatCode>General</c:formatCode>
                <c:ptCount val="1"/>
                <c:pt idx="0">
                  <c:v>1</c:v>
                </c:pt>
              </c:numCache>
            </c:numRef>
          </c:val>
          <c:extLst>
            <c:ext xmlns:c16="http://schemas.microsoft.com/office/drawing/2014/chart" uri="{C3380CC4-5D6E-409C-BE32-E72D297353CC}">
              <c16:uniqueId val="{0000000B-5FE7-4156-B068-8403258CA569}"/>
            </c:ext>
          </c:extLst>
        </c:ser>
        <c:ser>
          <c:idx val="12"/>
          <c:order val="12"/>
          <c:tx>
            <c:strRef>
              <c:f>Sheet!$AG$91</c:f>
              <c:strCache>
                <c:ptCount val="1"/>
                <c:pt idx="0">
                  <c:v>Industrie</c:v>
                </c:pt>
              </c:strCache>
            </c:strRef>
          </c:tx>
          <c:spPr>
            <a:solidFill>
              <a:srgbClr val="FF0000"/>
            </a:solidFill>
            <a:ln>
              <a:noFill/>
            </a:ln>
            <a:effectLst/>
          </c:spPr>
          <c:invertIfNegative val="0"/>
          <c:cat>
            <c:strRef>
              <c:f>Sheet!$T$92</c:f>
              <c:strCache>
                <c:ptCount val="1"/>
                <c:pt idx="0">
                  <c:v>Legenda</c:v>
                </c:pt>
              </c:strCache>
            </c:strRef>
          </c:cat>
          <c:val>
            <c:numRef>
              <c:f>Sheet!$AG$92</c:f>
              <c:numCache>
                <c:formatCode>General</c:formatCode>
                <c:ptCount val="1"/>
                <c:pt idx="0">
                  <c:v>1</c:v>
                </c:pt>
              </c:numCache>
            </c:numRef>
          </c:val>
          <c:extLst>
            <c:ext xmlns:c16="http://schemas.microsoft.com/office/drawing/2014/chart" uri="{C3380CC4-5D6E-409C-BE32-E72D297353CC}">
              <c16:uniqueId val="{0000000C-5FE7-4156-B068-8403258CA569}"/>
            </c:ext>
          </c:extLst>
        </c:ser>
        <c:ser>
          <c:idx val="13"/>
          <c:order val="13"/>
          <c:tx>
            <c:strRef>
              <c:f>Sheet!$AH$91</c:f>
              <c:strCache>
                <c:ptCount val="1"/>
                <c:pt idx="0">
                  <c:v>Depositie
open water</c:v>
                </c:pt>
              </c:strCache>
            </c:strRef>
          </c:tx>
          <c:spPr>
            <a:solidFill>
              <a:srgbClr val="FFFF00"/>
            </a:solidFill>
            <a:ln>
              <a:noFill/>
            </a:ln>
            <a:effectLst/>
          </c:spPr>
          <c:invertIfNegative val="0"/>
          <c:cat>
            <c:strRef>
              <c:f>Sheet!$T$92</c:f>
              <c:strCache>
                <c:ptCount val="1"/>
                <c:pt idx="0">
                  <c:v>Legenda</c:v>
                </c:pt>
              </c:strCache>
            </c:strRef>
          </c:cat>
          <c:val>
            <c:numRef>
              <c:f>Sheet!$AH$92</c:f>
              <c:numCache>
                <c:formatCode>General</c:formatCode>
                <c:ptCount val="1"/>
                <c:pt idx="0">
                  <c:v>1</c:v>
                </c:pt>
              </c:numCache>
            </c:numRef>
          </c:val>
          <c:extLst>
            <c:ext xmlns:c16="http://schemas.microsoft.com/office/drawing/2014/chart" uri="{C3380CC4-5D6E-409C-BE32-E72D297353CC}">
              <c16:uniqueId val="{0000000D-5FE7-4156-B068-8403258CA569}"/>
            </c:ext>
          </c:extLst>
        </c:ser>
        <c:ser>
          <c:idx val="14"/>
          <c:order val="14"/>
          <c:tx>
            <c:strRef>
              <c:f>Sheet!$AI$91</c:f>
              <c:strCache>
                <c:ptCount val="1"/>
                <c:pt idx="0">
                  <c:v>Overstort</c:v>
                </c:pt>
              </c:strCache>
            </c:strRef>
          </c:tx>
          <c:spPr>
            <a:pattFill prst="dkDnDiag">
              <a:fgClr>
                <a:srgbClr val="0070C0"/>
              </a:fgClr>
              <a:bgClr>
                <a:schemeClr val="bg1"/>
              </a:bgClr>
            </a:pattFill>
            <a:ln>
              <a:noFill/>
            </a:ln>
            <a:effectLst/>
          </c:spPr>
          <c:invertIfNegative val="0"/>
          <c:cat>
            <c:strRef>
              <c:f>Sheet!$T$92</c:f>
              <c:strCache>
                <c:ptCount val="1"/>
                <c:pt idx="0">
                  <c:v>Legenda</c:v>
                </c:pt>
              </c:strCache>
            </c:strRef>
          </c:cat>
          <c:val>
            <c:numRef>
              <c:f>Sheet!$AI$92</c:f>
              <c:numCache>
                <c:formatCode>General</c:formatCode>
                <c:ptCount val="1"/>
                <c:pt idx="0">
                  <c:v>1</c:v>
                </c:pt>
              </c:numCache>
            </c:numRef>
          </c:val>
          <c:extLst>
            <c:ext xmlns:c16="http://schemas.microsoft.com/office/drawing/2014/chart" uri="{C3380CC4-5D6E-409C-BE32-E72D297353CC}">
              <c16:uniqueId val="{0000000E-5FE7-4156-B068-8403258CA569}"/>
            </c:ext>
          </c:extLst>
        </c:ser>
        <c:ser>
          <c:idx val="15"/>
          <c:order val="15"/>
          <c:tx>
            <c:strRef>
              <c:f>Sheet!$AJ$91</c:f>
              <c:strCache>
                <c:ptCount val="1"/>
                <c:pt idx="0">
                  <c:v>Regenwaterriolen</c:v>
                </c:pt>
              </c:strCache>
            </c:strRef>
          </c:tx>
          <c:spPr>
            <a:pattFill prst="dkUpDiag">
              <a:fgClr>
                <a:srgbClr val="0070C0"/>
              </a:fgClr>
              <a:bgClr>
                <a:schemeClr val="bg1"/>
              </a:bgClr>
            </a:pattFill>
            <a:ln>
              <a:noFill/>
            </a:ln>
            <a:effectLst/>
          </c:spPr>
          <c:invertIfNegative val="0"/>
          <c:cat>
            <c:strRef>
              <c:f>Sheet!$T$92</c:f>
              <c:strCache>
                <c:ptCount val="1"/>
                <c:pt idx="0">
                  <c:v>Legenda</c:v>
                </c:pt>
              </c:strCache>
            </c:strRef>
          </c:cat>
          <c:val>
            <c:numRef>
              <c:f>Sheet!$AJ$92</c:f>
              <c:numCache>
                <c:formatCode>General</c:formatCode>
                <c:ptCount val="1"/>
                <c:pt idx="0">
                  <c:v>1</c:v>
                </c:pt>
              </c:numCache>
            </c:numRef>
          </c:val>
          <c:extLst>
            <c:ext xmlns:c16="http://schemas.microsoft.com/office/drawing/2014/chart" uri="{C3380CC4-5D6E-409C-BE32-E72D297353CC}">
              <c16:uniqueId val="{0000000F-5FE7-4156-B068-8403258CA569}"/>
            </c:ext>
          </c:extLst>
        </c:ser>
        <c:ser>
          <c:idx val="16"/>
          <c:order val="16"/>
          <c:tx>
            <c:strRef>
              <c:f>Sheet!$AK$91</c:f>
              <c:strCache>
                <c:ptCount val="1"/>
                <c:pt idx="0">
                  <c:v>Watervogels</c:v>
                </c:pt>
              </c:strCache>
            </c:strRef>
          </c:tx>
          <c:spPr>
            <a:solidFill>
              <a:schemeClr val="accent6">
                <a:lumMod val="40000"/>
                <a:lumOff val="60000"/>
              </a:schemeClr>
            </a:solidFill>
            <a:ln>
              <a:noFill/>
            </a:ln>
            <a:effectLst/>
          </c:spPr>
          <c:invertIfNegative val="0"/>
          <c:cat>
            <c:strRef>
              <c:f>Sheet!$T$92</c:f>
              <c:strCache>
                <c:ptCount val="1"/>
                <c:pt idx="0">
                  <c:v>Legenda</c:v>
                </c:pt>
              </c:strCache>
            </c:strRef>
          </c:cat>
          <c:val>
            <c:numRef>
              <c:f>Sheet!$AK$92</c:f>
              <c:numCache>
                <c:formatCode>General</c:formatCode>
                <c:ptCount val="1"/>
                <c:pt idx="0">
                  <c:v>1</c:v>
                </c:pt>
              </c:numCache>
            </c:numRef>
          </c:val>
          <c:extLst>
            <c:ext xmlns:c16="http://schemas.microsoft.com/office/drawing/2014/chart" uri="{C3380CC4-5D6E-409C-BE32-E72D297353CC}">
              <c16:uniqueId val="{00000010-5FE7-4156-B068-8403258CA569}"/>
            </c:ext>
          </c:extLst>
        </c:ser>
        <c:ser>
          <c:idx val="17"/>
          <c:order val="17"/>
          <c:tx>
            <c:strRef>
              <c:f>Sheet!$AL$91</c:f>
              <c:strCache>
                <c:ptCount val="1"/>
                <c:pt idx="0">
                  <c:v>Binnenvaart</c:v>
                </c:pt>
              </c:strCache>
            </c:strRef>
          </c:tx>
          <c:spPr>
            <a:solidFill>
              <a:schemeClr val="accent5">
                <a:lumMod val="20000"/>
                <a:lumOff val="80000"/>
              </a:schemeClr>
            </a:solidFill>
            <a:ln>
              <a:noFill/>
            </a:ln>
            <a:effectLst/>
          </c:spPr>
          <c:invertIfNegative val="0"/>
          <c:cat>
            <c:strRef>
              <c:f>Sheet!$T$92</c:f>
              <c:strCache>
                <c:ptCount val="1"/>
                <c:pt idx="0">
                  <c:v>Legenda</c:v>
                </c:pt>
              </c:strCache>
            </c:strRef>
          </c:cat>
          <c:val>
            <c:numRef>
              <c:f>Sheet!$AL$92</c:f>
              <c:numCache>
                <c:formatCode>General</c:formatCode>
                <c:ptCount val="1"/>
                <c:pt idx="0">
                  <c:v>1</c:v>
                </c:pt>
              </c:numCache>
            </c:numRef>
          </c:val>
          <c:extLst>
            <c:ext xmlns:c16="http://schemas.microsoft.com/office/drawing/2014/chart" uri="{C3380CC4-5D6E-409C-BE32-E72D297353CC}">
              <c16:uniqueId val="{00000011-5FE7-4156-B068-8403258CA569}"/>
            </c:ext>
          </c:extLst>
        </c:ser>
        <c:ser>
          <c:idx val="18"/>
          <c:order val="18"/>
          <c:tx>
            <c:strRef>
              <c:f>Sheet!$AM$91</c:f>
              <c:strCache>
                <c:ptCount val="1"/>
                <c:pt idx="0">
                  <c:v>Overige</c:v>
                </c:pt>
              </c:strCache>
            </c:strRef>
          </c:tx>
          <c:spPr>
            <a:solidFill>
              <a:schemeClr val="bg2"/>
            </a:solidFill>
            <a:ln>
              <a:noFill/>
            </a:ln>
            <a:effectLst/>
          </c:spPr>
          <c:invertIfNegative val="0"/>
          <c:cat>
            <c:strRef>
              <c:f>Sheet!$T$92</c:f>
              <c:strCache>
                <c:ptCount val="1"/>
                <c:pt idx="0">
                  <c:v>Legenda</c:v>
                </c:pt>
              </c:strCache>
            </c:strRef>
          </c:cat>
          <c:val>
            <c:numRef>
              <c:f>Sheet!$AM$92</c:f>
              <c:numCache>
                <c:formatCode>General</c:formatCode>
                <c:ptCount val="1"/>
                <c:pt idx="0">
                  <c:v>1</c:v>
                </c:pt>
              </c:numCache>
            </c:numRef>
          </c:val>
          <c:extLst>
            <c:ext xmlns:c16="http://schemas.microsoft.com/office/drawing/2014/chart" uri="{C3380CC4-5D6E-409C-BE32-E72D297353CC}">
              <c16:uniqueId val="{00000012-5FE7-4156-B068-8403258CA569}"/>
            </c:ext>
          </c:extLst>
        </c:ser>
        <c:ser>
          <c:idx val="19"/>
          <c:order val="19"/>
          <c:tx>
            <c:strRef>
              <c:f>Sheet!$AN$91</c:f>
              <c:strCache>
                <c:ptCount val="1"/>
                <c:pt idx="0">
                  <c:v>Inlaat Rijkswater</c:v>
                </c:pt>
              </c:strCache>
            </c:strRef>
          </c:tx>
          <c:spPr>
            <a:solidFill>
              <a:schemeClr val="accent4"/>
            </a:solidFill>
            <a:ln>
              <a:noFill/>
            </a:ln>
            <a:effectLst/>
          </c:spPr>
          <c:invertIfNegative val="0"/>
          <c:cat>
            <c:strRef>
              <c:f>Sheet!$T$92</c:f>
              <c:strCache>
                <c:ptCount val="1"/>
                <c:pt idx="0">
                  <c:v>Legenda</c:v>
                </c:pt>
              </c:strCache>
            </c:strRef>
          </c:cat>
          <c:val>
            <c:numRef>
              <c:f>Sheet!$AN$92</c:f>
              <c:numCache>
                <c:formatCode>General</c:formatCode>
                <c:ptCount val="1"/>
                <c:pt idx="0">
                  <c:v>1</c:v>
                </c:pt>
              </c:numCache>
            </c:numRef>
          </c:val>
          <c:extLst>
            <c:ext xmlns:c16="http://schemas.microsoft.com/office/drawing/2014/chart" uri="{C3380CC4-5D6E-409C-BE32-E72D297353CC}">
              <c16:uniqueId val="{00000013-5FE7-4156-B068-8403258CA569}"/>
            </c:ext>
          </c:extLst>
        </c:ser>
        <c:dLbls>
          <c:showLegendKey val="0"/>
          <c:showVal val="0"/>
          <c:showCatName val="0"/>
          <c:showSerName val="0"/>
          <c:showPercent val="0"/>
          <c:showBubbleSize val="0"/>
        </c:dLbls>
        <c:gapWidth val="150"/>
        <c:overlap val="100"/>
        <c:axId val="142744144"/>
        <c:axId val="142727824"/>
      </c:barChart>
      <c:catAx>
        <c:axId val="14274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2727824"/>
        <c:crosses val="autoZero"/>
        <c:auto val="1"/>
        <c:lblAlgn val="ctr"/>
        <c:lblOffset val="100"/>
        <c:noMultiLvlLbl val="0"/>
      </c:catAx>
      <c:valAx>
        <c:axId val="1427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2744144"/>
        <c:crosses val="autoZero"/>
        <c:crossBetween val="between"/>
      </c:valAx>
      <c:spPr>
        <a:noFill/>
        <a:ln>
          <a:noFill/>
        </a:ln>
        <a:effectLst/>
      </c:spPr>
    </c:plotArea>
    <c:legend>
      <c:legendPos val="r"/>
      <c:layout>
        <c:manualLayout>
          <c:xMode val="edge"/>
          <c:yMode val="edge"/>
          <c:x val="0.54375356030930466"/>
          <c:y val="6.585988391000562E-2"/>
          <c:w val="0.44242686279100685"/>
          <c:h val="0.8682802321799887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Stikstof</a:t>
            </a:r>
          </a:p>
        </c:rich>
      </c:tx>
      <c:overlay val="0"/>
    </c:title>
    <c:autoTitleDeleted val="0"/>
    <c:plotArea>
      <c:layout>
        <c:manualLayout>
          <c:layoutTarget val="inner"/>
          <c:xMode val="edge"/>
          <c:yMode val="edge"/>
          <c:x val="8.1383887352675058E-2"/>
          <c:y val="8.2309224433976549E-2"/>
          <c:w val="0.82300371662994809"/>
          <c:h val="0.86752138963738412"/>
        </c:manualLayout>
      </c:layout>
      <c:barChart>
        <c:barDir val="col"/>
        <c:grouping val="percentStacked"/>
        <c:varyColors val="0"/>
        <c:ser>
          <c:idx val="0"/>
          <c:order val="0"/>
          <c:tx>
            <c:strRef>
              <c:f>Sheet!$U$117</c:f>
              <c:strCache>
                <c:ptCount val="1"/>
                <c:pt idx="0">
                  <c:v>Bemesting
actueel</c:v>
                </c:pt>
              </c:strCache>
            </c:strRef>
          </c:tx>
          <c:spPr>
            <a:solidFill>
              <a:schemeClr val="accent2">
                <a:lumMod val="50000"/>
              </a:schemeClr>
            </a:solidFill>
            <a:ln>
              <a:noFill/>
            </a:ln>
            <a:effectLst/>
          </c:spPr>
          <c:invertIfNegative val="0"/>
          <c:cat>
            <c:strRef>
              <c:f>Sheet!$T$118:$T$119</c:f>
              <c:strCache>
                <c:ptCount val="2"/>
                <c:pt idx="0">
                  <c:v>Zomer</c:v>
                </c:pt>
                <c:pt idx="1">
                  <c:v>Jaar</c:v>
                </c:pt>
              </c:strCache>
            </c:strRef>
          </c:cat>
          <c:val>
            <c:numRef>
              <c:f>Sheet!$U$118:$U$119</c:f>
              <c:numCache>
                <c:formatCode>0%</c:formatCode>
                <c:ptCount val="2"/>
                <c:pt idx="0">
                  <c:v>#N/A</c:v>
                </c:pt>
                <c:pt idx="1">
                  <c:v>#N/A</c:v>
                </c:pt>
              </c:numCache>
            </c:numRef>
          </c:val>
          <c:extLst>
            <c:ext xmlns:c16="http://schemas.microsoft.com/office/drawing/2014/chart" uri="{C3380CC4-5D6E-409C-BE32-E72D297353CC}">
              <c16:uniqueId val="{00000015-9D4F-4549-8B7C-7928509A34F1}"/>
            </c:ext>
          </c:extLst>
        </c:ser>
        <c:ser>
          <c:idx val="1"/>
          <c:order val="1"/>
          <c:tx>
            <c:strRef>
              <c:f>Sheet!$V$117</c:f>
              <c:strCache>
                <c:ptCount val="1"/>
                <c:pt idx="0">
                  <c:v>Bemesting
historisch</c:v>
                </c:pt>
              </c:strCache>
            </c:strRef>
          </c:tx>
          <c:spPr>
            <a:pattFill prst="dkUpDiag">
              <a:fgClr>
                <a:schemeClr val="accent2">
                  <a:lumMod val="50000"/>
                </a:schemeClr>
              </a:fgClr>
              <a:bgClr>
                <a:schemeClr val="bg1"/>
              </a:bgClr>
            </a:pattFill>
            <a:ln>
              <a:noFill/>
            </a:ln>
            <a:effectLst/>
          </c:spPr>
          <c:invertIfNegative val="0"/>
          <c:cat>
            <c:strRef>
              <c:f>Sheet!$T$118:$T$119</c:f>
              <c:strCache>
                <c:ptCount val="2"/>
                <c:pt idx="0">
                  <c:v>Zomer</c:v>
                </c:pt>
                <c:pt idx="1">
                  <c:v>Jaar</c:v>
                </c:pt>
              </c:strCache>
            </c:strRef>
          </c:cat>
          <c:val>
            <c:numRef>
              <c:f>Sheet!$V$118:$V$119</c:f>
              <c:numCache>
                <c:formatCode>0%</c:formatCode>
                <c:ptCount val="2"/>
                <c:pt idx="0">
                  <c:v>#N/A</c:v>
                </c:pt>
                <c:pt idx="1">
                  <c:v>#N/A</c:v>
                </c:pt>
              </c:numCache>
            </c:numRef>
          </c:val>
          <c:extLst>
            <c:ext xmlns:c16="http://schemas.microsoft.com/office/drawing/2014/chart" uri="{C3380CC4-5D6E-409C-BE32-E72D297353CC}">
              <c16:uniqueId val="{00000017-9D4F-4549-8B7C-7928509A34F1}"/>
            </c:ext>
          </c:extLst>
        </c:ser>
        <c:ser>
          <c:idx val="2"/>
          <c:order val="2"/>
          <c:tx>
            <c:strRef>
              <c:f>Sheet!$W$117</c:f>
              <c:strCache>
                <c:ptCount val="1"/>
                <c:pt idx="0">
                  <c:v>Depositie</c:v>
                </c:pt>
              </c:strCache>
            </c:strRef>
          </c:tx>
          <c:spPr>
            <a:pattFill prst="dkUpDiag">
              <a:fgClr>
                <a:srgbClr val="FFFF00"/>
              </a:fgClr>
              <a:bgClr>
                <a:schemeClr val="bg2">
                  <a:lumMod val="50000"/>
                </a:schemeClr>
              </a:bgClr>
            </a:pattFill>
            <a:ln>
              <a:noFill/>
            </a:ln>
            <a:effectLst/>
          </c:spPr>
          <c:invertIfNegative val="0"/>
          <c:cat>
            <c:strRef>
              <c:f>Sheet!$T$118:$T$119</c:f>
              <c:strCache>
                <c:ptCount val="2"/>
                <c:pt idx="0">
                  <c:v>Zomer</c:v>
                </c:pt>
                <c:pt idx="1">
                  <c:v>Jaar</c:v>
                </c:pt>
              </c:strCache>
            </c:strRef>
          </c:cat>
          <c:val>
            <c:numRef>
              <c:f>Sheet!$W$118:$W$119</c:f>
              <c:numCache>
                <c:formatCode>0%</c:formatCode>
                <c:ptCount val="2"/>
                <c:pt idx="0">
                  <c:v>#N/A</c:v>
                </c:pt>
                <c:pt idx="1">
                  <c:v>#N/A</c:v>
                </c:pt>
              </c:numCache>
            </c:numRef>
          </c:val>
          <c:extLst>
            <c:ext xmlns:c16="http://schemas.microsoft.com/office/drawing/2014/chart" uri="{C3380CC4-5D6E-409C-BE32-E72D297353CC}">
              <c16:uniqueId val="{00000019-9D4F-4549-8B7C-7928509A34F1}"/>
            </c:ext>
          </c:extLst>
        </c:ser>
        <c:ser>
          <c:idx val="3"/>
          <c:order val="3"/>
          <c:tx>
            <c:strRef>
              <c:f>Sheet!$X$117</c:f>
              <c:strCache>
                <c:ptCount val="1"/>
                <c:pt idx="0">
                  <c:v>Infiltratie</c:v>
                </c:pt>
              </c:strCache>
            </c:strRef>
          </c:tx>
          <c:spPr>
            <a:pattFill prst="pct75">
              <a:fgClr>
                <a:srgbClr val="0070C0"/>
              </a:fgClr>
              <a:bgClr>
                <a:schemeClr val="bg1"/>
              </a:bgClr>
            </a:pattFill>
            <a:ln>
              <a:noFill/>
            </a:ln>
            <a:effectLst/>
          </c:spPr>
          <c:invertIfNegative val="0"/>
          <c:cat>
            <c:strRef>
              <c:f>Sheet!$T$118:$T$119</c:f>
              <c:strCache>
                <c:ptCount val="2"/>
                <c:pt idx="0">
                  <c:v>Zomer</c:v>
                </c:pt>
                <c:pt idx="1">
                  <c:v>Jaar</c:v>
                </c:pt>
              </c:strCache>
            </c:strRef>
          </c:cat>
          <c:val>
            <c:numRef>
              <c:f>Sheet!$X$118:$X$119</c:f>
              <c:numCache>
                <c:formatCode>0%</c:formatCode>
                <c:ptCount val="2"/>
                <c:pt idx="0">
                  <c:v>#N/A</c:v>
                </c:pt>
                <c:pt idx="1">
                  <c:v>#N/A</c:v>
                </c:pt>
              </c:numCache>
            </c:numRef>
          </c:val>
          <c:extLst>
            <c:ext xmlns:c16="http://schemas.microsoft.com/office/drawing/2014/chart" uri="{C3380CC4-5D6E-409C-BE32-E72D297353CC}">
              <c16:uniqueId val="{0000001B-9D4F-4549-8B7C-7928509A34F1}"/>
            </c:ext>
          </c:extLst>
        </c:ser>
        <c:ser>
          <c:idx val="4"/>
          <c:order val="4"/>
          <c:tx>
            <c:strRef>
              <c:f>Sheet!$Y$117</c:f>
              <c:strCache>
                <c:ptCount val="1"/>
                <c:pt idx="0">
                  <c:v>Kwel</c:v>
                </c:pt>
              </c:strCache>
            </c:strRef>
          </c:tx>
          <c:spPr>
            <a:pattFill prst="pct70">
              <a:fgClr>
                <a:schemeClr val="bg1"/>
              </a:fgClr>
              <a:bgClr>
                <a:srgbClr val="0070C0"/>
              </a:bgClr>
            </a:pattFill>
            <a:ln>
              <a:noFill/>
            </a:ln>
            <a:effectLst/>
          </c:spPr>
          <c:invertIfNegative val="0"/>
          <c:cat>
            <c:strRef>
              <c:f>Sheet!$T$118:$T$119</c:f>
              <c:strCache>
                <c:ptCount val="2"/>
                <c:pt idx="0">
                  <c:v>Zomer</c:v>
                </c:pt>
                <c:pt idx="1">
                  <c:v>Jaar</c:v>
                </c:pt>
              </c:strCache>
            </c:strRef>
          </c:cat>
          <c:val>
            <c:numRef>
              <c:f>Sheet!$Y$118:$Y$119</c:f>
              <c:numCache>
                <c:formatCode>0%</c:formatCode>
                <c:ptCount val="2"/>
                <c:pt idx="0">
                  <c:v>#N/A</c:v>
                </c:pt>
                <c:pt idx="1">
                  <c:v>#N/A</c:v>
                </c:pt>
              </c:numCache>
            </c:numRef>
          </c:val>
          <c:extLst>
            <c:ext xmlns:c16="http://schemas.microsoft.com/office/drawing/2014/chart" uri="{C3380CC4-5D6E-409C-BE32-E72D297353CC}">
              <c16:uniqueId val="{0000001D-9D4F-4549-8B7C-7928509A34F1}"/>
            </c:ext>
          </c:extLst>
        </c:ser>
        <c:ser>
          <c:idx val="5"/>
          <c:order val="5"/>
          <c:tx>
            <c:strRef>
              <c:f>Sheet!$Z$117</c:f>
              <c:strCache>
                <c:ptCount val="1"/>
                <c:pt idx="0">
                  <c:v>Mineralisatie
en uitloging</c:v>
                </c:pt>
              </c:strCache>
            </c:strRef>
          </c:tx>
          <c:spPr>
            <a:pattFill prst="pct70">
              <a:fgClr>
                <a:schemeClr val="accent2">
                  <a:lumMod val="50000"/>
                </a:schemeClr>
              </a:fgClr>
              <a:bgClr>
                <a:schemeClr val="bg1"/>
              </a:bgClr>
            </a:pattFill>
            <a:ln>
              <a:noFill/>
            </a:ln>
            <a:effectLst/>
          </c:spPr>
          <c:invertIfNegative val="0"/>
          <c:cat>
            <c:strRef>
              <c:f>Sheet!$T$118:$T$119</c:f>
              <c:strCache>
                <c:ptCount val="2"/>
                <c:pt idx="0">
                  <c:v>Zomer</c:v>
                </c:pt>
                <c:pt idx="1">
                  <c:v>Jaar</c:v>
                </c:pt>
              </c:strCache>
            </c:strRef>
          </c:cat>
          <c:val>
            <c:numRef>
              <c:f>Sheet!$Z$118:$Z$119</c:f>
              <c:numCache>
                <c:formatCode>0%</c:formatCode>
                <c:ptCount val="2"/>
                <c:pt idx="0">
                  <c:v>#N/A</c:v>
                </c:pt>
                <c:pt idx="1">
                  <c:v>#N/A</c:v>
                </c:pt>
              </c:numCache>
            </c:numRef>
          </c:val>
          <c:extLst>
            <c:ext xmlns:c16="http://schemas.microsoft.com/office/drawing/2014/chart" uri="{C3380CC4-5D6E-409C-BE32-E72D297353CC}">
              <c16:uniqueId val="{0000001F-9D4F-4549-8B7C-7928509A34F1}"/>
            </c:ext>
          </c:extLst>
        </c:ser>
        <c:ser>
          <c:idx val="6"/>
          <c:order val="6"/>
          <c:tx>
            <c:strRef>
              <c:f>Sheet!$AA$117</c:f>
              <c:strCache>
                <c:ptCount val="1"/>
                <c:pt idx="0">
                  <c:v>Natuur-
gronden</c:v>
                </c:pt>
              </c:strCache>
            </c:strRef>
          </c:tx>
          <c:spPr>
            <a:solidFill>
              <a:schemeClr val="accent6">
                <a:lumMod val="75000"/>
              </a:schemeClr>
            </a:solidFill>
            <a:ln>
              <a:noFill/>
            </a:ln>
            <a:effectLst/>
          </c:spPr>
          <c:invertIfNegative val="0"/>
          <c:cat>
            <c:strRef>
              <c:f>Sheet!$T$118:$T$119</c:f>
              <c:strCache>
                <c:ptCount val="2"/>
                <c:pt idx="0">
                  <c:v>Zomer</c:v>
                </c:pt>
                <c:pt idx="1">
                  <c:v>Jaar</c:v>
                </c:pt>
              </c:strCache>
            </c:strRef>
          </c:cat>
          <c:val>
            <c:numRef>
              <c:f>Sheet!$AA$118:$AA$119</c:f>
              <c:numCache>
                <c:formatCode>0%</c:formatCode>
                <c:ptCount val="2"/>
                <c:pt idx="0">
                  <c:v>#N/A</c:v>
                </c:pt>
                <c:pt idx="1">
                  <c:v>#N/A</c:v>
                </c:pt>
              </c:numCache>
            </c:numRef>
          </c:val>
          <c:extLst>
            <c:ext xmlns:c16="http://schemas.microsoft.com/office/drawing/2014/chart" uri="{C3380CC4-5D6E-409C-BE32-E72D297353CC}">
              <c16:uniqueId val="{00000021-9D4F-4549-8B7C-7928509A34F1}"/>
            </c:ext>
          </c:extLst>
        </c:ser>
        <c:ser>
          <c:idx val="7"/>
          <c:order val="7"/>
          <c:tx>
            <c:strRef>
              <c:f>Sheet!$AB$117</c:f>
              <c:strCache>
                <c:ptCount val="1"/>
                <c:pt idx="0">
                  <c:v>Directe kwel</c:v>
                </c:pt>
              </c:strCache>
            </c:strRef>
          </c:tx>
          <c:spPr>
            <a:solidFill>
              <a:schemeClr val="accent2">
                <a:lumMod val="40000"/>
                <a:lumOff val="60000"/>
              </a:schemeClr>
            </a:solidFill>
            <a:ln>
              <a:noFill/>
            </a:ln>
            <a:effectLst/>
          </c:spPr>
          <c:invertIfNegative val="0"/>
          <c:cat>
            <c:strRef>
              <c:f>Sheet!$T$118:$T$119</c:f>
              <c:strCache>
                <c:ptCount val="2"/>
                <c:pt idx="0">
                  <c:v>Zomer</c:v>
                </c:pt>
                <c:pt idx="1">
                  <c:v>Jaar</c:v>
                </c:pt>
              </c:strCache>
            </c:strRef>
          </c:cat>
          <c:val>
            <c:numRef>
              <c:f>Sheet!$AB$118:$AB$119</c:f>
              <c:numCache>
                <c:formatCode>0%</c:formatCode>
                <c:ptCount val="2"/>
                <c:pt idx="0">
                  <c:v>#N/A</c:v>
                </c:pt>
                <c:pt idx="1">
                  <c:v>#N/A</c:v>
                </c:pt>
              </c:numCache>
            </c:numRef>
          </c:val>
          <c:extLst>
            <c:ext xmlns:c16="http://schemas.microsoft.com/office/drawing/2014/chart" uri="{C3380CC4-5D6E-409C-BE32-E72D297353CC}">
              <c16:uniqueId val="{00000023-9D4F-4549-8B7C-7928509A34F1}"/>
            </c:ext>
          </c:extLst>
        </c:ser>
        <c:ser>
          <c:idx val="8"/>
          <c:order val="8"/>
          <c:tx>
            <c:strRef>
              <c:f>Sheet!$AC$117</c:f>
              <c:strCache>
                <c:ptCount val="1"/>
                <c:pt idx="0">
                  <c:v>Erfaf-
spoeling</c:v>
                </c:pt>
              </c:strCache>
            </c:strRef>
          </c:tx>
          <c:spPr>
            <a:pattFill prst="horzBrick">
              <a:fgClr>
                <a:schemeClr val="accent2">
                  <a:lumMod val="50000"/>
                </a:schemeClr>
              </a:fgClr>
              <a:bgClr>
                <a:schemeClr val="bg1"/>
              </a:bgClr>
            </a:pattFill>
            <a:ln>
              <a:noFill/>
            </a:ln>
            <a:effectLst/>
          </c:spPr>
          <c:invertIfNegative val="0"/>
          <c:cat>
            <c:strRef>
              <c:f>Sheet!$T$118:$T$119</c:f>
              <c:strCache>
                <c:ptCount val="2"/>
                <c:pt idx="0">
                  <c:v>Zomer</c:v>
                </c:pt>
                <c:pt idx="1">
                  <c:v>Jaar</c:v>
                </c:pt>
              </c:strCache>
            </c:strRef>
          </c:cat>
          <c:val>
            <c:numRef>
              <c:f>Sheet!$AC$118:$AC$119</c:f>
              <c:numCache>
                <c:formatCode>0%</c:formatCode>
                <c:ptCount val="2"/>
                <c:pt idx="0">
                  <c:v>#N/A</c:v>
                </c:pt>
                <c:pt idx="1">
                  <c:v>#N/A</c:v>
                </c:pt>
              </c:numCache>
            </c:numRef>
          </c:val>
          <c:extLst>
            <c:ext xmlns:c16="http://schemas.microsoft.com/office/drawing/2014/chart" uri="{C3380CC4-5D6E-409C-BE32-E72D297353CC}">
              <c16:uniqueId val="{00000025-9D4F-4549-8B7C-7928509A34F1}"/>
            </c:ext>
          </c:extLst>
        </c:ser>
        <c:ser>
          <c:idx val="9"/>
          <c:order val="9"/>
          <c:tx>
            <c:strRef>
              <c:f>Sheet!$AD$117</c:f>
              <c:strCache>
                <c:ptCount val="1"/>
                <c:pt idx="0">
                  <c:v>Glas-
tuinbouw</c:v>
                </c:pt>
              </c:strCache>
            </c:strRef>
          </c:tx>
          <c:spPr>
            <a:pattFill prst="dkDnDiag">
              <a:fgClr>
                <a:srgbClr val="FF0000"/>
              </a:fgClr>
              <a:bgClr>
                <a:schemeClr val="bg1"/>
              </a:bgClr>
            </a:pattFill>
            <a:ln>
              <a:noFill/>
            </a:ln>
            <a:effectLst/>
          </c:spPr>
          <c:invertIfNegative val="0"/>
          <c:cat>
            <c:strRef>
              <c:f>Sheet!$T$118:$T$119</c:f>
              <c:strCache>
                <c:ptCount val="2"/>
                <c:pt idx="0">
                  <c:v>Zomer</c:v>
                </c:pt>
                <c:pt idx="1">
                  <c:v>Jaar</c:v>
                </c:pt>
              </c:strCache>
            </c:strRef>
          </c:cat>
          <c:val>
            <c:numRef>
              <c:f>Sheet!$AD$118:$AD$119</c:f>
              <c:numCache>
                <c:formatCode>0%</c:formatCode>
                <c:ptCount val="2"/>
                <c:pt idx="0">
                  <c:v>#N/A</c:v>
                </c:pt>
                <c:pt idx="1">
                  <c:v>#N/A</c:v>
                </c:pt>
              </c:numCache>
            </c:numRef>
          </c:val>
          <c:extLst>
            <c:ext xmlns:c16="http://schemas.microsoft.com/office/drawing/2014/chart" uri="{C3380CC4-5D6E-409C-BE32-E72D297353CC}">
              <c16:uniqueId val="{00000027-9D4F-4549-8B7C-7928509A34F1}"/>
            </c:ext>
          </c:extLst>
        </c:ser>
        <c:ser>
          <c:idx val="10"/>
          <c:order val="10"/>
          <c:tx>
            <c:strRef>
              <c:f>Sheet!$AE$117</c:f>
              <c:strCache>
                <c:ptCount val="1"/>
                <c:pt idx="0">
                  <c:v>Mee-
mesten</c:v>
                </c:pt>
              </c:strCache>
            </c:strRef>
          </c:tx>
          <c:spPr>
            <a:pattFill prst="dkUpDiag">
              <a:fgClr>
                <a:schemeClr val="accent2">
                  <a:lumMod val="50000"/>
                </a:schemeClr>
              </a:fgClr>
              <a:bgClr>
                <a:schemeClr val="bg1"/>
              </a:bgClr>
            </a:pattFill>
            <a:ln>
              <a:noFill/>
            </a:ln>
            <a:effectLst/>
          </c:spPr>
          <c:invertIfNegative val="0"/>
          <c:cat>
            <c:strRef>
              <c:f>Sheet!$T$118:$T$119</c:f>
              <c:strCache>
                <c:ptCount val="2"/>
                <c:pt idx="0">
                  <c:v>Zomer</c:v>
                </c:pt>
                <c:pt idx="1">
                  <c:v>Jaar</c:v>
                </c:pt>
              </c:strCache>
            </c:strRef>
          </c:cat>
          <c:val>
            <c:numRef>
              <c:f>Sheet!$AE$118:$AE$119</c:f>
              <c:numCache>
                <c:formatCode>0%</c:formatCode>
                <c:ptCount val="2"/>
                <c:pt idx="0">
                  <c:v>#N/A</c:v>
                </c:pt>
                <c:pt idx="1">
                  <c:v>#N/A</c:v>
                </c:pt>
              </c:numCache>
            </c:numRef>
          </c:val>
          <c:extLst>
            <c:ext xmlns:c16="http://schemas.microsoft.com/office/drawing/2014/chart" uri="{C3380CC4-5D6E-409C-BE32-E72D297353CC}">
              <c16:uniqueId val="{00000029-9D4F-4549-8B7C-7928509A34F1}"/>
            </c:ext>
          </c:extLst>
        </c:ser>
        <c:ser>
          <c:idx val="11"/>
          <c:order val="11"/>
          <c:tx>
            <c:strRef>
              <c:f>Sheet!$AF$117</c:f>
              <c:strCache>
                <c:ptCount val="1"/>
                <c:pt idx="0">
                  <c:v>RWZI</c:v>
                </c:pt>
              </c:strCache>
            </c:strRef>
          </c:tx>
          <c:spPr>
            <a:pattFill prst="dkUpDiag">
              <a:fgClr>
                <a:srgbClr val="FF0000"/>
              </a:fgClr>
              <a:bgClr>
                <a:schemeClr val="bg1"/>
              </a:bgClr>
            </a:pattFill>
            <a:ln>
              <a:noFill/>
            </a:ln>
            <a:effectLst/>
          </c:spPr>
          <c:invertIfNegative val="0"/>
          <c:cat>
            <c:strRef>
              <c:f>Sheet!$T$118:$T$119</c:f>
              <c:strCache>
                <c:ptCount val="2"/>
                <c:pt idx="0">
                  <c:v>Zomer</c:v>
                </c:pt>
                <c:pt idx="1">
                  <c:v>Jaar</c:v>
                </c:pt>
              </c:strCache>
            </c:strRef>
          </c:cat>
          <c:val>
            <c:numRef>
              <c:f>Sheet!$AF$118:$AF$119</c:f>
              <c:numCache>
                <c:formatCode>0%</c:formatCode>
                <c:ptCount val="2"/>
                <c:pt idx="0">
                  <c:v>#N/A</c:v>
                </c:pt>
                <c:pt idx="1">
                  <c:v>#N/A</c:v>
                </c:pt>
              </c:numCache>
            </c:numRef>
          </c:val>
          <c:extLst>
            <c:ext xmlns:c16="http://schemas.microsoft.com/office/drawing/2014/chart" uri="{C3380CC4-5D6E-409C-BE32-E72D297353CC}">
              <c16:uniqueId val="{0000002B-9D4F-4549-8B7C-7928509A34F1}"/>
            </c:ext>
          </c:extLst>
        </c:ser>
        <c:ser>
          <c:idx val="12"/>
          <c:order val="12"/>
          <c:tx>
            <c:strRef>
              <c:f>Sheet!$AG$117</c:f>
              <c:strCache>
                <c:ptCount val="1"/>
                <c:pt idx="0">
                  <c:v>Industrie</c:v>
                </c:pt>
              </c:strCache>
            </c:strRef>
          </c:tx>
          <c:spPr>
            <a:solidFill>
              <a:srgbClr val="FF0000"/>
            </a:solidFill>
            <a:ln>
              <a:noFill/>
            </a:ln>
            <a:effectLst/>
          </c:spPr>
          <c:invertIfNegative val="0"/>
          <c:cat>
            <c:strRef>
              <c:f>Sheet!$T$118:$T$119</c:f>
              <c:strCache>
                <c:ptCount val="2"/>
                <c:pt idx="0">
                  <c:v>Zomer</c:v>
                </c:pt>
                <c:pt idx="1">
                  <c:v>Jaar</c:v>
                </c:pt>
              </c:strCache>
            </c:strRef>
          </c:cat>
          <c:val>
            <c:numRef>
              <c:f>Sheet!$AG$118:$AG$119</c:f>
              <c:numCache>
                <c:formatCode>0%</c:formatCode>
                <c:ptCount val="2"/>
                <c:pt idx="0">
                  <c:v>#N/A</c:v>
                </c:pt>
                <c:pt idx="1">
                  <c:v>#N/A</c:v>
                </c:pt>
              </c:numCache>
            </c:numRef>
          </c:val>
          <c:extLst>
            <c:ext xmlns:c16="http://schemas.microsoft.com/office/drawing/2014/chart" uri="{C3380CC4-5D6E-409C-BE32-E72D297353CC}">
              <c16:uniqueId val="{0000002D-9D4F-4549-8B7C-7928509A34F1}"/>
            </c:ext>
          </c:extLst>
        </c:ser>
        <c:ser>
          <c:idx val="13"/>
          <c:order val="13"/>
          <c:tx>
            <c:strRef>
              <c:f>Sheet!$AH$117</c:f>
              <c:strCache>
                <c:ptCount val="1"/>
                <c:pt idx="0">
                  <c:v>Depositie
open water</c:v>
                </c:pt>
              </c:strCache>
            </c:strRef>
          </c:tx>
          <c:spPr>
            <a:solidFill>
              <a:srgbClr val="FFFF00"/>
            </a:solidFill>
            <a:ln>
              <a:noFill/>
            </a:ln>
            <a:effectLst/>
          </c:spPr>
          <c:invertIfNegative val="0"/>
          <c:cat>
            <c:strRef>
              <c:f>Sheet!$T$118:$T$119</c:f>
              <c:strCache>
                <c:ptCount val="2"/>
                <c:pt idx="0">
                  <c:v>Zomer</c:v>
                </c:pt>
                <c:pt idx="1">
                  <c:v>Jaar</c:v>
                </c:pt>
              </c:strCache>
            </c:strRef>
          </c:cat>
          <c:val>
            <c:numRef>
              <c:f>Sheet!$AH$118:$AH$119</c:f>
              <c:numCache>
                <c:formatCode>0%</c:formatCode>
                <c:ptCount val="2"/>
                <c:pt idx="0">
                  <c:v>#N/A</c:v>
                </c:pt>
                <c:pt idx="1">
                  <c:v>#N/A</c:v>
                </c:pt>
              </c:numCache>
            </c:numRef>
          </c:val>
          <c:extLst>
            <c:ext xmlns:c16="http://schemas.microsoft.com/office/drawing/2014/chart" uri="{C3380CC4-5D6E-409C-BE32-E72D297353CC}">
              <c16:uniqueId val="{0000002F-9D4F-4549-8B7C-7928509A34F1}"/>
            </c:ext>
          </c:extLst>
        </c:ser>
        <c:ser>
          <c:idx val="14"/>
          <c:order val="14"/>
          <c:tx>
            <c:strRef>
              <c:f>Sheet!$AI$117</c:f>
              <c:strCache>
                <c:ptCount val="1"/>
                <c:pt idx="0">
                  <c:v>Overstort</c:v>
                </c:pt>
              </c:strCache>
            </c:strRef>
          </c:tx>
          <c:spPr>
            <a:pattFill prst="dkDnDiag">
              <a:fgClr>
                <a:srgbClr val="0070C0"/>
              </a:fgClr>
              <a:bgClr>
                <a:schemeClr val="bg1"/>
              </a:bgClr>
            </a:pattFill>
            <a:ln>
              <a:noFill/>
            </a:ln>
            <a:effectLst/>
          </c:spPr>
          <c:invertIfNegative val="0"/>
          <c:cat>
            <c:strRef>
              <c:f>Sheet!$T$118:$T$119</c:f>
              <c:strCache>
                <c:ptCount val="2"/>
                <c:pt idx="0">
                  <c:v>Zomer</c:v>
                </c:pt>
                <c:pt idx="1">
                  <c:v>Jaar</c:v>
                </c:pt>
              </c:strCache>
            </c:strRef>
          </c:cat>
          <c:val>
            <c:numRef>
              <c:f>Sheet!$AI$118:$AI$119</c:f>
              <c:numCache>
                <c:formatCode>0%</c:formatCode>
                <c:ptCount val="2"/>
                <c:pt idx="0">
                  <c:v>#N/A</c:v>
                </c:pt>
                <c:pt idx="1">
                  <c:v>#N/A</c:v>
                </c:pt>
              </c:numCache>
            </c:numRef>
          </c:val>
          <c:extLst>
            <c:ext xmlns:c16="http://schemas.microsoft.com/office/drawing/2014/chart" uri="{C3380CC4-5D6E-409C-BE32-E72D297353CC}">
              <c16:uniqueId val="{00000031-9D4F-4549-8B7C-7928509A34F1}"/>
            </c:ext>
          </c:extLst>
        </c:ser>
        <c:ser>
          <c:idx val="15"/>
          <c:order val="15"/>
          <c:tx>
            <c:strRef>
              <c:f>Sheet!$AJ$117</c:f>
              <c:strCache>
                <c:ptCount val="1"/>
                <c:pt idx="0">
                  <c:v>Regen
waterriolen</c:v>
                </c:pt>
              </c:strCache>
            </c:strRef>
          </c:tx>
          <c:spPr>
            <a:pattFill prst="dkUpDiag">
              <a:fgClr>
                <a:srgbClr val="0070C0"/>
              </a:fgClr>
              <a:bgClr>
                <a:schemeClr val="bg1"/>
              </a:bgClr>
            </a:pattFill>
            <a:ln>
              <a:noFill/>
            </a:ln>
            <a:effectLst/>
          </c:spPr>
          <c:invertIfNegative val="0"/>
          <c:cat>
            <c:strRef>
              <c:f>Sheet!$T$118:$T$119</c:f>
              <c:strCache>
                <c:ptCount val="2"/>
                <c:pt idx="0">
                  <c:v>Zomer</c:v>
                </c:pt>
                <c:pt idx="1">
                  <c:v>Jaar</c:v>
                </c:pt>
              </c:strCache>
            </c:strRef>
          </c:cat>
          <c:val>
            <c:numRef>
              <c:f>Sheet!$AJ$118:$AJ$119</c:f>
              <c:numCache>
                <c:formatCode>0%</c:formatCode>
                <c:ptCount val="2"/>
                <c:pt idx="0">
                  <c:v>#N/A</c:v>
                </c:pt>
                <c:pt idx="1">
                  <c:v>#N/A</c:v>
                </c:pt>
              </c:numCache>
            </c:numRef>
          </c:val>
          <c:extLst>
            <c:ext xmlns:c16="http://schemas.microsoft.com/office/drawing/2014/chart" uri="{C3380CC4-5D6E-409C-BE32-E72D297353CC}">
              <c16:uniqueId val="{00000033-9D4F-4549-8B7C-7928509A34F1}"/>
            </c:ext>
          </c:extLst>
        </c:ser>
        <c:ser>
          <c:idx val="16"/>
          <c:order val="16"/>
          <c:tx>
            <c:strRef>
              <c:f>Sheet!$AK$117</c:f>
              <c:strCache>
                <c:ptCount val="1"/>
                <c:pt idx="0">
                  <c:v>Water-
vogels</c:v>
                </c:pt>
              </c:strCache>
            </c:strRef>
          </c:tx>
          <c:spPr>
            <a:solidFill>
              <a:schemeClr val="accent6">
                <a:lumMod val="40000"/>
                <a:lumOff val="60000"/>
              </a:schemeClr>
            </a:solidFill>
            <a:ln>
              <a:noFill/>
            </a:ln>
            <a:effectLst/>
          </c:spPr>
          <c:invertIfNegative val="0"/>
          <c:cat>
            <c:strRef>
              <c:f>Sheet!$T$118:$T$119</c:f>
              <c:strCache>
                <c:ptCount val="2"/>
                <c:pt idx="0">
                  <c:v>Zomer</c:v>
                </c:pt>
                <c:pt idx="1">
                  <c:v>Jaar</c:v>
                </c:pt>
              </c:strCache>
            </c:strRef>
          </c:cat>
          <c:val>
            <c:numRef>
              <c:f>Sheet!$AK$118:$AK$119</c:f>
              <c:numCache>
                <c:formatCode>0%</c:formatCode>
                <c:ptCount val="2"/>
                <c:pt idx="0">
                  <c:v>#N/A</c:v>
                </c:pt>
                <c:pt idx="1">
                  <c:v>#N/A</c:v>
                </c:pt>
              </c:numCache>
            </c:numRef>
          </c:val>
          <c:extLst>
            <c:ext xmlns:c16="http://schemas.microsoft.com/office/drawing/2014/chart" uri="{C3380CC4-5D6E-409C-BE32-E72D297353CC}">
              <c16:uniqueId val="{00000035-9D4F-4549-8B7C-7928509A34F1}"/>
            </c:ext>
          </c:extLst>
        </c:ser>
        <c:ser>
          <c:idx val="17"/>
          <c:order val="17"/>
          <c:tx>
            <c:strRef>
              <c:f>Sheet!$AL$117</c:f>
              <c:strCache>
                <c:ptCount val="1"/>
                <c:pt idx="0">
                  <c:v>Binnen-
vaart</c:v>
                </c:pt>
              </c:strCache>
            </c:strRef>
          </c:tx>
          <c:spPr>
            <a:solidFill>
              <a:schemeClr val="accent5">
                <a:lumMod val="20000"/>
                <a:lumOff val="80000"/>
              </a:schemeClr>
            </a:solidFill>
            <a:ln>
              <a:noFill/>
            </a:ln>
            <a:effectLst/>
          </c:spPr>
          <c:invertIfNegative val="0"/>
          <c:cat>
            <c:strRef>
              <c:f>Sheet!$T$118:$T$119</c:f>
              <c:strCache>
                <c:ptCount val="2"/>
                <c:pt idx="0">
                  <c:v>Zomer</c:v>
                </c:pt>
                <c:pt idx="1">
                  <c:v>Jaar</c:v>
                </c:pt>
              </c:strCache>
            </c:strRef>
          </c:cat>
          <c:val>
            <c:numRef>
              <c:f>Sheet!$AL$118:$AL$119</c:f>
              <c:numCache>
                <c:formatCode>0%</c:formatCode>
                <c:ptCount val="2"/>
                <c:pt idx="0">
                  <c:v>#N/A</c:v>
                </c:pt>
                <c:pt idx="1">
                  <c:v>#N/A</c:v>
                </c:pt>
              </c:numCache>
            </c:numRef>
          </c:val>
          <c:extLst>
            <c:ext xmlns:c16="http://schemas.microsoft.com/office/drawing/2014/chart" uri="{C3380CC4-5D6E-409C-BE32-E72D297353CC}">
              <c16:uniqueId val="{00000037-9D4F-4549-8B7C-7928509A34F1}"/>
            </c:ext>
          </c:extLst>
        </c:ser>
        <c:ser>
          <c:idx val="18"/>
          <c:order val="18"/>
          <c:tx>
            <c:strRef>
              <c:f>Sheet!$AM$117</c:f>
              <c:strCache>
                <c:ptCount val="1"/>
                <c:pt idx="0">
                  <c:v>Overige</c:v>
                </c:pt>
              </c:strCache>
            </c:strRef>
          </c:tx>
          <c:spPr>
            <a:solidFill>
              <a:schemeClr val="bg2"/>
            </a:solidFill>
            <a:ln>
              <a:noFill/>
            </a:ln>
            <a:effectLst/>
          </c:spPr>
          <c:invertIfNegative val="0"/>
          <c:cat>
            <c:strRef>
              <c:f>Sheet!$T$118:$T$119</c:f>
              <c:strCache>
                <c:ptCount val="2"/>
                <c:pt idx="0">
                  <c:v>Zomer</c:v>
                </c:pt>
                <c:pt idx="1">
                  <c:v>Jaar</c:v>
                </c:pt>
              </c:strCache>
            </c:strRef>
          </c:cat>
          <c:val>
            <c:numRef>
              <c:f>Sheet!$AM$118:$AM$119</c:f>
              <c:numCache>
                <c:formatCode>0%</c:formatCode>
                <c:ptCount val="2"/>
                <c:pt idx="0">
                  <c:v>#N/A</c:v>
                </c:pt>
                <c:pt idx="1">
                  <c:v>#N/A</c:v>
                </c:pt>
              </c:numCache>
            </c:numRef>
          </c:val>
          <c:extLst>
            <c:ext xmlns:c16="http://schemas.microsoft.com/office/drawing/2014/chart" uri="{C3380CC4-5D6E-409C-BE32-E72D297353CC}">
              <c16:uniqueId val="{00000039-9D4F-4549-8B7C-7928509A34F1}"/>
            </c:ext>
          </c:extLst>
        </c:ser>
        <c:ser>
          <c:idx val="19"/>
          <c:order val="19"/>
          <c:tx>
            <c:strRef>
              <c:f>Sheet!$AN$117</c:f>
              <c:strCache>
                <c:ptCount val="1"/>
                <c:pt idx="0">
                  <c:v>Inlaat Rijkswater</c:v>
                </c:pt>
              </c:strCache>
            </c:strRef>
          </c:tx>
          <c:spPr>
            <a:solidFill>
              <a:schemeClr val="accent4"/>
            </a:solidFill>
            <a:ln>
              <a:noFill/>
            </a:ln>
            <a:effectLst/>
          </c:spPr>
          <c:invertIfNegative val="0"/>
          <c:cat>
            <c:strRef>
              <c:f>Sheet!$T$118:$T$119</c:f>
              <c:strCache>
                <c:ptCount val="2"/>
                <c:pt idx="0">
                  <c:v>Zomer</c:v>
                </c:pt>
                <c:pt idx="1">
                  <c:v>Jaar</c:v>
                </c:pt>
              </c:strCache>
            </c:strRef>
          </c:cat>
          <c:val>
            <c:numRef>
              <c:f>Sheet!$AN$118:$AN$119</c:f>
              <c:numCache>
                <c:formatCode>0%</c:formatCode>
                <c:ptCount val="2"/>
                <c:pt idx="0">
                  <c:v>#N/A</c:v>
                </c:pt>
                <c:pt idx="1">
                  <c:v>#N/A</c:v>
                </c:pt>
              </c:numCache>
            </c:numRef>
          </c:val>
          <c:extLst>
            <c:ext xmlns:c16="http://schemas.microsoft.com/office/drawing/2014/chart" uri="{C3380CC4-5D6E-409C-BE32-E72D297353CC}">
              <c16:uniqueId val="{0000003B-9D4F-4549-8B7C-7928509A34F1}"/>
            </c:ext>
          </c:extLst>
        </c:ser>
        <c:dLbls>
          <c:showLegendKey val="0"/>
          <c:showVal val="0"/>
          <c:showCatName val="0"/>
          <c:showSerName val="0"/>
          <c:showPercent val="0"/>
          <c:showBubbleSize val="0"/>
        </c:dLbls>
        <c:gapWidth val="150"/>
        <c:overlap val="100"/>
        <c:axId val="142744144"/>
        <c:axId val="142727824"/>
      </c:barChart>
      <c:catAx>
        <c:axId val="14274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nl-NL"/>
          </a:p>
        </c:txPr>
        <c:crossAx val="142727824"/>
        <c:crosses val="autoZero"/>
        <c:auto val="1"/>
        <c:lblAlgn val="ctr"/>
        <c:lblOffset val="100"/>
        <c:noMultiLvlLbl val="0"/>
      </c:catAx>
      <c:valAx>
        <c:axId val="1427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nl-NL"/>
          </a:p>
        </c:txPr>
        <c:crossAx val="142744144"/>
        <c:crosses val="autoZero"/>
        <c:crossBetween val="between"/>
      </c:valAx>
    </c:plotArea>
    <c:plotVisOnly val="1"/>
    <c:dispBlanksAs val="gap"/>
    <c:showDLblsOverMax val="0"/>
    <c:extLst/>
  </c:chart>
  <c:txPr>
    <a:bodyPr/>
    <a:lstStyle/>
    <a:p>
      <a:pPr>
        <a:defRPr sz="1200"/>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Fosfor</a:t>
            </a:r>
          </a:p>
        </c:rich>
      </c:tx>
      <c:overlay val="0"/>
    </c:title>
    <c:autoTitleDeleted val="0"/>
    <c:plotArea>
      <c:layout>
        <c:manualLayout>
          <c:layoutTarget val="inner"/>
          <c:xMode val="edge"/>
          <c:yMode val="edge"/>
          <c:x val="8.1383887352675058E-2"/>
          <c:y val="8.6549506883530955E-2"/>
          <c:w val="0.82300371662994809"/>
          <c:h val="0.8632811071878298"/>
        </c:manualLayout>
      </c:layout>
      <c:barChart>
        <c:barDir val="col"/>
        <c:grouping val="percentStacked"/>
        <c:varyColors val="0"/>
        <c:ser>
          <c:idx val="0"/>
          <c:order val="0"/>
          <c:tx>
            <c:strRef>
              <c:f>Sheet!$U$117</c:f>
              <c:strCache>
                <c:ptCount val="1"/>
                <c:pt idx="0">
                  <c:v>Bemesting
actueel</c:v>
                </c:pt>
              </c:strCache>
            </c:strRef>
          </c:tx>
          <c:spPr>
            <a:solidFill>
              <a:schemeClr val="accent2">
                <a:lumMod val="50000"/>
              </a:schemeClr>
            </a:solidFill>
            <a:ln>
              <a:noFill/>
            </a:ln>
            <a:effectLst/>
          </c:spPr>
          <c:invertIfNegative val="0"/>
          <c:cat>
            <c:strRef>
              <c:f>Sheet!$T$120:$T$121</c:f>
              <c:strCache>
                <c:ptCount val="2"/>
                <c:pt idx="0">
                  <c:v>Zomer</c:v>
                </c:pt>
                <c:pt idx="1">
                  <c:v>Jaar</c:v>
                </c:pt>
              </c:strCache>
            </c:strRef>
          </c:cat>
          <c:val>
            <c:numRef>
              <c:f>Sheet!$U$120:$U$121</c:f>
              <c:numCache>
                <c:formatCode>0%</c:formatCode>
                <c:ptCount val="2"/>
                <c:pt idx="0">
                  <c:v>#N/A</c:v>
                </c:pt>
                <c:pt idx="1">
                  <c:v>#N/A</c:v>
                </c:pt>
              </c:numCache>
            </c:numRef>
          </c:val>
          <c:extLst>
            <c:ext xmlns:c16="http://schemas.microsoft.com/office/drawing/2014/chart" uri="{C3380CC4-5D6E-409C-BE32-E72D297353CC}">
              <c16:uniqueId val="{00000015-C4FB-431E-882B-5BF277DA3857}"/>
            </c:ext>
          </c:extLst>
        </c:ser>
        <c:ser>
          <c:idx val="1"/>
          <c:order val="1"/>
          <c:tx>
            <c:strRef>
              <c:f>Sheet!$V$117</c:f>
              <c:strCache>
                <c:ptCount val="1"/>
                <c:pt idx="0">
                  <c:v>Bemesting
historisch</c:v>
                </c:pt>
              </c:strCache>
            </c:strRef>
          </c:tx>
          <c:spPr>
            <a:pattFill prst="dkUpDiag">
              <a:fgClr>
                <a:schemeClr val="accent2">
                  <a:lumMod val="50000"/>
                </a:schemeClr>
              </a:fgClr>
              <a:bgClr>
                <a:schemeClr val="bg1"/>
              </a:bgClr>
            </a:pattFill>
            <a:ln>
              <a:noFill/>
            </a:ln>
            <a:effectLst/>
          </c:spPr>
          <c:invertIfNegative val="0"/>
          <c:cat>
            <c:strRef>
              <c:f>Sheet!$T$120:$T$121</c:f>
              <c:strCache>
                <c:ptCount val="2"/>
                <c:pt idx="0">
                  <c:v>Zomer</c:v>
                </c:pt>
                <c:pt idx="1">
                  <c:v>Jaar</c:v>
                </c:pt>
              </c:strCache>
            </c:strRef>
          </c:cat>
          <c:val>
            <c:numRef>
              <c:f>Sheet!$V$120:$V$121</c:f>
              <c:numCache>
                <c:formatCode>0%</c:formatCode>
                <c:ptCount val="2"/>
                <c:pt idx="0">
                  <c:v>#N/A</c:v>
                </c:pt>
                <c:pt idx="1">
                  <c:v>#N/A</c:v>
                </c:pt>
              </c:numCache>
            </c:numRef>
          </c:val>
          <c:extLst>
            <c:ext xmlns:c16="http://schemas.microsoft.com/office/drawing/2014/chart" uri="{C3380CC4-5D6E-409C-BE32-E72D297353CC}">
              <c16:uniqueId val="{00000017-C4FB-431E-882B-5BF277DA3857}"/>
            </c:ext>
          </c:extLst>
        </c:ser>
        <c:ser>
          <c:idx val="2"/>
          <c:order val="2"/>
          <c:tx>
            <c:strRef>
              <c:f>Sheet!$W$117</c:f>
              <c:strCache>
                <c:ptCount val="1"/>
                <c:pt idx="0">
                  <c:v>Depositie</c:v>
                </c:pt>
              </c:strCache>
            </c:strRef>
          </c:tx>
          <c:spPr>
            <a:pattFill prst="dkUpDiag">
              <a:fgClr>
                <a:srgbClr val="FFFF00"/>
              </a:fgClr>
              <a:bgClr>
                <a:schemeClr val="bg2">
                  <a:lumMod val="50000"/>
                </a:schemeClr>
              </a:bgClr>
            </a:pattFill>
            <a:ln>
              <a:noFill/>
            </a:ln>
            <a:effectLst/>
          </c:spPr>
          <c:invertIfNegative val="0"/>
          <c:cat>
            <c:strRef>
              <c:f>Sheet!$T$120:$T$121</c:f>
              <c:strCache>
                <c:ptCount val="2"/>
                <c:pt idx="0">
                  <c:v>Zomer</c:v>
                </c:pt>
                <c:pt idx="1">
                  <c:v>Jaar</c:v>
                </c:pt>
              </c:strCache>
            </c:strRef>
          </c:cat>
          <c:val>
            <c:numRef>
              <c:f>Sheet!$W$120:$W$121</c:f>
              <c:numCache>
                <c:formatCode>0%</c:formatCode>
                <c:ptCount val="2"/>
                <c:pt idx="0">
                  <c:v>#N/A</c:v>
                </c:pt>
                <c:pt idx="1">
                  <c:v>#N/A</c:v>
                </c:pt>
              </c:numCache>
            </c:numRef>
          </c:val>
          <c:extLst>
            <c:ext xmlns:c16="http://schemas.microsoft.com/office/drawing/2014/chart" uri="{C3380CC4-5D6E-409C-BE32-E72D297353CC}">
              <c16:uniqueId val="{00000019-C4FB-431E-882B-5BF277DA3857}"/>
            </c:ext>
          </c:extLst>
        </c:ser>
        <c:ser>
          <c:idx val="3"/>
          <c:order val="3"/>
          <c:tx>
            <c:strRef>
              <c:f>Sheet!$X$117</c:f>
              <c:strCache>
                <c:ptCount val="1"/>
                <c:pt idx="0">
                  <c:v>Infiltratie</c:v>
                </c:pt>
              </c:strCache>
            </c:strRef>
          </c:tx>
          <c:spPr>
            <a:pattFill prst="pct75">
              <a:fgClr>
                <a:srgbClr val="0070C0"/>
              </a:fgClr>
              <a:bgClr>
                <a:schemeClr val="bg1"/>
              </a:bgClr>
            </a:pattFill>
            <a:ln>
              <a:noFill/>
            </a:ln>
            <a:effectLst/>
          </c:spPr>
          <c:invertIfNegative val="0"/>
          <c:cat>
            <c:strRef>
              <c:f>Sheet!$T$120:$T$121</c:f>
              <c:strCache>
                <c:ptCount val="2"/>
                <c:pt idx="0">
                  <c:v>Zomer</c:v>
                </c:pt>
                <c:pt idx="1">
                  <c:v>Jaar</c:v>
                </c:pt>
              </c:strCache>
            </c:strRef>
          </c:cat>
          <c:val>
            <c:numRef>
              <c:f>Sheet!$X$120:$X$121</c:f>
              <c:numCache>
                <c:formatCode>0%</c:formatCode>
                <c:ptCount val="2"/>
                <c:pt idx="0">
                  <c:v>#N/A</c:v>
                </c:pt>
                <c:pt idx="1">
                  <c:v>#N/A</c:v>
                </c:pt>
              </c:numCache>
            </c:numRef>
          </c:val>
          <c:extLst>
            <c:ext xmlns:c16="http://schemas.microsoft.com/office/drawing/2014/chart" uri="{C3380CC4-5D6E-409C-BE32-E72D297353CC}">
              <c16:uniqueId val="{0000001B-C4FB-431E-882B-5BF277DA3857}"/>
            </c:ext>
          </c:extLst>
        </c:ser>
        <c:ser>
          <c:idx val="4"/>
          <c:order val="4"/>
          <c:tx>
            <c:strRef>
              <c:f>Sheet!$Y$117</c:f>
              <c:strCache>
                <c:ptCount val="1"/>
                <c:pt idx="0">
                  <c:v>Kwel</c:v>
                </c:pt>
              </c:strCache>
            </c:strRef>
          </c:tx>
          <c:spPr>
            <a:pattFill prst="pct70">
              <a:fgClr>
                <a:schemeClr val="bg1"/>
              </a:fgClr>
              <a:bgClr>
                <a:srgbClr val="0070C0"/>
              </a:bgClr>
            </a:pattFill>
            <a:ln>
              <a:noFill/>
            </a:ln>
            <a:effectLst/>
          </c:spPr>
          <c:invertIfNegative val="0"/>
          <c:cat>
            <c:strRef>
              <c:f>Sheet!$T$120:$T$121</c:f>
              <c:strCache>
                <c:ptCount val="2"/>
                <c:pt idx="0">
                  <c:v>Zomer</c:v>
                </c:pt>
                <c:pt idx="1">
                  <c:v>Jaar</c:v>
                </c:pt>
              </c:strCache>
            </c:strRef>
          </c:cat>
          <c:val>
            <c:numRef>
              <c:f>Sheet!$Y$120:$Y$121</c:f>
              <c:numCache>
                <c:formatCode>0%</c:formatCode>
                <c:ptCount val="2"/>
                <c:pt idx="0">
                  <c:v>#N/A</c:v>
                </c:pt>
                <c:pt idx="1">
                  <c:v>#N/A</c:v>
                </c:pt>
              </c:numCache>
            </c:numRef>
          </c:val>
          <c:extLst>
            <c:ext xmlns:c16="http://schemas.microsoft.com/office/drawing/2014/chart" uri="{C3380CC4-5D6E-409C-BE32-E72D297353CC}">
              <c16:uniqueId val="{0000001D-C4FB-431E-882B-5BF277DA3857}"/>
            </c:ext>
          </c:extLst>
        </c:ser>
        <c:ser>
          <c:idx val="5"/>
          <c:order val="5"/>
          <c:tx>
            <c:strRef>
              <c:f>Sheet!$Z$117</c:f>
              <c:strCache>
                <c:ptCount val="1"/>
                <c:pt idx="0">
                  <c:v>Mineralisatie
en uitloging</c:v>
                </c:pt>
              </c:strCache>
            </c:strRef>
          </c:tx>
          <c:spPr>
            <a:pattFill prst="pct70">
              <a:fgClr>
                <a:schemeClr val="accent2">
                  <a:lumMod val="50000"/>
                </a:schemeClr>
              </a:fgClr>
              <a:bgClr>
                <a:schemeClr val="bg1"/>
              </a:bgClr>
            </a:pattFill>
            <a:ln>
              <a:noFill/>
            </a:ln>
            <a:effectLst/>
          </c:spPr>
          <c:invertIfNegative val="0"/>
          <c:cat>
            <c:strRef>
              <c:f>Sheet!$T$120:$T$121</c:f>
              <c:strCache>
                <c:ptCount val="2"/>
                <c:pt idx="0">
                  <c:v>Zomer</c:v>
                </c:pt>
                <c:pt idx="1">
                  <c:v>Jaar</c:v>
                </c:pt>
              </c:strCache>
            </c:strRef>
          </c:cat>
          <c:val>
            <c:numRef>
              <c:f>Sheet!$Z$120:$Z$121</c:f>
              <c:numCache>
                <c:formatCode>0%</c:formatCode>
                <c:ptCount val="2"/>
                <c:pt idx="0">
                  <c:v>#N/A</c:v>
                </c:pt>
                <c:pt idx="1">
                  <c:v>#N/A</c:v>
                </c:pt>
              </c:numCache>
            </c:numRef>
          </c:val>
          <c:extLst>
            <c:ext xmlns:c16="http://schemas.microsoft.com/office/drawing/2014/chart" uri="{C3380CC4-5D6E-409C-BE32-E72D297353CC}">
              <c16:uniqueId val="{0000001F-C4FB-431E-882B-5BF277DA3857}"/>
            </c:ext>
          </c:extLst>
        </c:ser>
        <c:ser>
          <c:idx val="6"/>
          <c:order val="6"/>
          <c:tx>
            <c:strRef>
              <c:f>Sheet!$AA$117</c:f>
              <c:strCache>
                <c:ptCount val="1"/>
                <c:pt idx="0">
                  <c:v>Natuur-
gronden</c:v>
                </c:pt>
              </c:strCache>
            </c:strRef>
          </c:tx>
          <c:spPr>
            <a:solidFill>
              <a:schemeClr val="accent6">
                <a:lumMod val="75000"/>
              </a:schemeClr>
            </a:solidFill>
            <a:ln>
              <a:noFill/>
            </a:ln>
            <a:effectLst/>
          </c:spPr>
          <c:invertIfNegative val="0"/>
          <c:cat>
            <c:strRef>
              <c:f>Sheet!$T$120:$T$121</c:f>
              <c:strCache>
                <c:ptCount val="2"/>
                <c:pt idx="0">
                  <c:v>Zomer</c:v>
                </c:pt>
                <c:pt idx="1">
                  <c:v>Jaar</c:v>
                </c:pt>
              </c:strCache>
            </c:strRef>
          </c:cat>
          <c:val>
            <c:numRef>
              <c:f>Sheet!$AA$120:$AA$121</c:f>
              <c:numCache>
                <c:formatCode>0%</c:formatCode>
                <c:ptCount val="2"/>
                <c:pt idx="0">
                  <c:v>#N/A</c:v>
                </c:pt>
                <c:pt idx="1">
                  <c:v>#N/A</c:v>
                </c:pt>
              </c:numCache>
            </c:numRef>
          </c:val>
          <c:extLst>
            <c:ext xmlns:c16="http://schemas.microsoft.com/office/drawing/2014/chart" uri="{C3380CC4-5D6E-409C-BE32-E72D297353CC}">
              <c16:uniqueId val="{00000021-C4FB-431E-882B-5BF277DA3857}"/>
            </c:ext>
          </c:extLst>
        </c:ser>
        <c:ser>
          <c:idx val="7"/>
          <c:order val="7"/>
          <c:tx>
            <c:strRef>
              <c:f>Sheet!$AB$117</c:f>
              <c:strCache>
                <c:ptCount val="1"/>
                <c:pt idx="0">
                  <c:v>Directe kwel</c:v>
                </c:pt>
              </c:strCache>
            </c:strRef>
          </c:tx>
          <c:spPr>
            <a:solidFill>
              <a:schemeClr val="accent2">
                <a:lumMod val="40000"/>
                <a:lumOff val="60000"/>
              </a:schemeClr>
            </a:solidFill>
            <a:ln>
              <a:noFill/>
            </a:ln>
            <a:effectLst/>
          </c:spPr>
          <c:invertIfNegative val="0"/>
          <c:cat>
            <c:strRef>
              <c:f>Sheet!$T$120:$T$121</c:f>
              <c:strCache>
                <c:ptCount val="2"/>
                <c:pt idx="0">
                  <c:v>Zomer</c:v>
                </c:pt>
                <c:pt idx="1">
                  <c:v>Jaar</c:v>
                </c:pt>
              </c:strCache>
            </c:strRef>
          </c:cat>
          <c:val>
            <c:numRef>
              <c:f>Sheet!$AB$120:$AB$121</c:f>
              <c:numCache>
                <c:formatCode>0%</c:formatCode>
                <c:ptCount val="2"/>
                <c:pt idx="0">
                  <c:v>#N/A</c:v>
                </c:pt>
                <c:pt idx="1">
                  <c:v>#N/A</c:v>
                </c:pt>
              </c:numCache>
            </c:numRef>
          </c:val>
          <c:extLst>
            <c:ext xmlns:c16="http://schemas.microsoft.com/office/drawing/2014/chart" uri="{C3380CC4-5D6E-409C-BE32-E72D297353CC}">
              <c16:uniqueId val="{00000023-C4FB-431E-882B-5BF277DA3857}"/>
            </c:ext>
          </c:extLst>
        </c:ser>
        <c:ser>
          <c:idx val="8"/>
          <c:order val="8"/>
          <c:tx>
            <c:strRef>
              <c:f>Sheet!$AC$117</c:f>
              <c:strCache>
                <c:ptCount val="1"/>
                <c:pt idx="0">
                  <c:v>Erfaf-
spoeling</c:v>
                </c:pt>
              </c:strCache>
            </c:strRef>
          </c:tx>
          <c:spPr>
            <a:pattFill prst="horzBrick">
              <a:fgClr>
                <a:schemeClr val="accent2">
                  <a:lumMod val="50000"/>
                </a:schemeClr>
              </a:fgClr>
              <a:bgClr>
                <a:schemeClr val="bg1"/>
              </a:bgClr>
            </a:pattFill>
            <a:ln>
              <a:noFill/>
            </a:ln>
            <a:effectLst/>
          </c:spPr>
          <c:invertIfNegative val="0"/>
          <c:cat>
            <c:strRef>
              <c:f>Sheet!$T$120:$T$121</c:f>
              <c:strCache>
                <c:ptCount val="2"/>
                <c:pt idx="0">
                  <c:v>Zomer</c:v>
                </c:pt>
                <c:pt idx="1">
                  <c:v>Jaar</c:v>
                </c:pt>
              </c:strCache>
            </c:strRef>
          </c:cat>
          <c:val>
            <c:numRef>
              <c:f>Sheet!$AC$120:$AC$121</c:f>
              <c:numCache>
                <c:formatCode>0%</c:formatCode>
                <c:ptCount val="2"/>
                <c:pt idx="0">
                  <c:v>#N/A</c:v>
                </c:pt>
                <c:pt idx="1">
                  <c:v>#N/A</c:v>
                </c:pt>
              </c:numCache>
            </c:numRef>
          </c:val>
          <c:extLst>
            <c:ext xmlns:c16="http://schemas.microsoft.com/office/drawing/2014/chart" uri="{C3380CC4-5D6E-409C-BE32-E72D297353CC}">
              <c16:uniqueId val="{00000025-C4FB-431E-882B-5BF277DA3857}"/>
            </c:ext>
          </c:extLst>
        </c:ser>
        <c:ser>
          <c:idx val="9"/>
          <c:order val="9"/>
          <c:tx>
            <c:strRef>
              <c:f>Sheet!$AD$117</c:f>
              <c:strCache>
                <c:ptCount val="1"/>
                <c:pt idx="0">
                  <c:v>Glas-
tuinbouw</c:v>
                </c:pt>
              </c:strCache>
            </c:strRef>
          </c:tx>
          <c:spPr>
            <a:pattFill prst="dkDnDiag">
              <a:fgClr>
                <a:srgbClr val="FF0000"/>
              </a:fgClr>
              <a:bgClr>
                <a:schemeClr val="bg1"/>
              </a:bgClr>
            </a:pattFill>
            <a:ln>
              <a:noFill/>
            </a:ln>
            <a:effectLst/>
          </c:spPr>
          <c:invertIfNegative val="0"/>
          <c:cat>
            <c:strRef>
              <c:f>Sheet!$T$120:$T$121</c:f>
              <c:strCache>
                <c:ptCount val="2"/>
                <c:pt idx="0">
                  <c:v>Zomer</c:v>
                </c:pt>
                <c:pt idx="1">
                  <c:v>Jaar</c:v>
                </c:pt>
              </c:strCache>
            </c:strRef>
          </c:cat>
          <c:val>
            <c:numRef>
              <c:f>Sheet!$AD$120:$AD$121</c:f>
              <c:numCache>
                <c:formatCode>0%</c:formatCode>
                <c:ptCount val="2"/>
                <c:pt idx="0">
                  <c:v>#N/A</c:v>
                </c:pt>
                <c:pt idx="1">
                  <c:v>#N/A</c:v>
                </c:pt>
              </c:numCache>
            </c:numRef>
          </c:val>
          <c:extLst>
            <c:ext xmlns:c16="http://schemas.microsoft.com/office/drawing/2014/chart" uri="{C3380CC4-5D6E-409C-BE32-E72D297353CC}">
              <c16:uniqueId val="{00000027-C4FB-431E-882B-5BF277DA3857}"/>
            </c:ext>
          </c:extLst>
        </c:ser>
        <c:ser>
          <c:idx val="10"/>
          <c:order val="10"/>
          <c:tx>
            <c:strRef>
              <c:f>Sheet!$AE$117</c:f>
              <c:strCache>
                <c:ptCount val="1"/>
                <c:pt idx="0">
                  <c:v>Mee-
mesten</c:v>
                </c:pt>
              </c:strCache>
            </c:strRef>
          </c:tx>
          <c:spPr>
            <a:pattFill prst="dkUpDiag">
              <a:fgClr>
                <a:schemeClr val="accent2">
                  <a:lumMod val="50000"/>
                </a:schemeClr>
              </a:fgClr>
              <a:bgClr>
                <a:schemeClr val="bg1"/>
              </a:bgClr>
            </a:pattFill>
            <a:ln>
              <a:noFill/>
            </a:ln>
            <a:effectLst/>
          </c:spPr>
          <c:invertIfNegative val="0"/>
          <c:cat>
            <c:strRef>
              <c:f>Sheet!$T$120:$T$121</c:f>
              <c:strCache>
                <c:ptCount val="2"/>
                <c:pt idx="0">
                  <c:v>Zomer</c:v>
                </c:pt>
                <c:pt idx="1">
                  <c:v>Jaar</c:v>
                </c:pt>
              </c:strCache>
            </c:strRef>
          </c:cat>
          <c:val>
            <c:numRef>
              <c:f>Sheet!$AE$120:$AE$121</c:f>
              <c:numCache>
                <c:formatCode>0%</c:formatCode>
                <c:ptCount val="2"/>
                <c:pt idx="0">
                  <c:v>#N/A</c:v>
                </c:pt>
                <c:pt idx="1">
                  <c:v>#N/A</c:v>
                </c:pt>
              </c:numCache>
            </c:numRef>
          </c:val>
          <c:extLst>
            <c:ext xmlns:c16="http://schemas.microsoft.com/office/drawing/2014/chart" uri="{C3380CC4-5D6E-409C-BE32-E72D297353CC}">
              <c16:uniqueId val="{00000029-C4FB-431E-882B-5BF277DA3857}"/>
            </c:ext>
          </c:extLst>
        </c:ser>
        <c:ser>
          <c:idx val="11"/>
          <c:order val="11"/>
          <c:tx>
            <c:strRef>
              <c:f>Sheet!$AF$117</c:f>
              <c:strCache>
                <c:ptCount val="1"/>
                <c:pt idx="0">
                  <c:v>RWZI</c:v>
                </c:pt>
              </c:strCache>
            </c:strRef>
          </c:tx>
          <c:spPr>
            <a:pattFill prst="dkUpDiag">
              <a:fgClr>
                <a:srgbClr val="FF0000"/>
              </a:fgClr>
              <a:bgClr>
                <a:schemeClr val="bg1"/>
              </a:bgClr>
            </a:pattFill>
            <a:ln>
              <a:noFill/>
            </a:ln>
            <a:effectLst/>
          </c:spPr>
          <c:invertIfNegative val="0"/>
          <c:cat>
            <c:strRef>
              <c:f>Sheet!$T$120:$T$121</c:f>
              <c:strCache>
                <c:ptCount val="2"/>
                <c:pt idx="0">
                  <c:v>Zomer</c:v>
                </c:pt>
                <c:pt idx="1">
                  <c:v>Jaar</c:v>
                </c:pt>
              </c:strCache>
            </c:strRef>
          </c:cat>
          <c:val>
            <c:numRef>
              <c:f>Sheet!$AF$120:$AF$121</c:f>
              <c:numCache>
                <c:formatCode>0%</c:formatCode>
                <c:ptCount val="2"/>
                <c:pt idx="0">
                  <c:v>#N/A</c:v>
                </c:pt>
                <c:pt idx="1">
                  <c:v>#N/A</c:v>
                </c:pt>
              </c:numCache>
            </c:numRef>
          </c:val>
          <c:extLst>
            <c:ext xmlns:c16="http://schemas.microsoft.com/office/drawing/2014/chart" uri="{C3380CC4-5D6E-409C-BE32-E72D297353CC}">
              <c16:uniqueId val="{0000002B-C4FB-431E-882B-5BF277DA3857}"/>
            </c:ext>
          </c:extLst>
        </c:ser>
        <c:ser>
          <c:idx val="12"/>
          <c:order val="12"/>
          <c:tx>
            <c:strRef>
              <c:f>Sheet!$AG$117</c:f>
              <c:strCache>
                <c:ptCount val="1"/>
                <c:pt idx="0">
                  <c:v>Industrie</c:v>
                </c:pt>
              </c:strCache>
            </c:strRef>
          </c:tx>
          <c:spPr>
            <a:solidFill>
              <a:srgbClr val="FF0000"/>
            </a:solidFill>
            <a:ln>
              <a:noFill/>
            </a:ln>
            <a:effectLst/>
          </c:spPr>
          <c:invertIfNegative val="0"/>
          <c:cat>
            <c:strRef>
              <c:f>Sheet!$T$120:$T$121</c:f>
              <c:strCache>
                <c:ptCount val="2"/>
                <c:pt idx="0">
                  <c:v>Zomer</c:v>
                </c:pt>
                <c:pt idx="1">
                  <c:v>Jaar</c:v>
                </c:pt>
              </c:strCache>
            </c:strRef>
          </c:cat>
          <c:val>
            <c:numRef>
              <c:f>Sheet!$AG$120:$AG$121</c:f>
              <c:numCache>
                <c:formatCode>0%</c:formatCode>
                <c:ptCount val="2"/>
                <c:pt idx="0">
                  <c:v>#N/A</c:v>
                </c:pt>
                <c:pt idx="1">
                  <c:v>#N/A</c:v>
                </c:pt>
              </c:numCache>
            </c:numRef>
          </c:val>
          <c:extLst>
            <c:ext xmlns:c16="http://schemas.microsoft.com/office/drawing/2014/chart" uri="{C3380CC4-5D6E-409C-BE32-E72D297353CC}">
              <c16:uniqueId val="{0000002D-C4FB-431E-882B-5BF277DA3857}"/>
            </c:ext>
          </c:extLst>
        </c:ser>
        <c:ser>
          <c:idx val="13"/>
          <c:order val="13"/>
          <c:tx>
            <c:strRef>
              <c:f>Sheet!$AH$117</c:f>
              <c:strCache>
                <c:ptCount val="1"/>
                <c:pt idx="0">
                  <c:v>Depositie
open water</c:v>
                </c:pt>
              </c:strCache>
            </c:strRef>
          </c:tx>
          <c:spPr>
            <a:solidFill>
              <a:srgbClr val="FFFF00"/>
            </a:solidFill>
            <a:ln>
              <a:noFill/>
            </a:ln>
            <a:effectLst/>
          </c:spPr>
          <c:invertIfNegative val="0"/>
          <c:cat>
            <c:strRef>
              <c:f>Sheet!$T$120:$T$121</c:f>
              <c:strCache>
                <c:ptCount val="2"/>
                <c:pt idx="0">
                  <c:v>Zomer</c:v>
                </c:pt>
                <c:pt idx="1">
                  <c:v>Jaar</c:v>
                </c:pt>
              </c:strCache>
            </c:strRef>
          </c:cat>
          <c:val>
            <c:numRef>
              <c:f>Sheet!$AH$120:$AH$121</c:f>
              <c:numCache>
                <c:formatCode>0%</c:formatCode>
                <c:ptCount val="2"/>
                <c:pt idx="0">
                  <c:v>#N/A</c:v>
                </c:pt>
                <c:pt idx="1">
                  <c:v>#N/A</c:v>
                </c:pt>
              </c:numCache>
            </c:numRef>
          </c:val>
          <c:extLst>
            <c:ext xmlns:c16="http://schemas.microsoft.com/office/drawing/2014/chart" uri="{C3380CC4-5D6E-409C-BE32-E72D297353CC}">
              <c16:uniqueId val="{0000002F-C4FB-431E-882B-5BF277DA3857}"/>
            </c:ext>
          </c:extLst>
        </c:ser>
        <c:ser>
          <c:idx val="14"/>
          <c:order val="14"/>
          <c:tx>
            <c:strRef>
              <c:f>Sheet!$AI$117</c:f>
              <c:strCache>
                <c:ptCount val="1"/>
                <c:pt idx="0">
                  <c:v>Overstort</c:v>
                </c:pt>
              </c:strCache>
            </c:strRef>
          </c:tx>
          <c:spPr>
            <a:pattFill prst="dkDnDiag">
              <a:fgClr>
                <a:srgbClr val="0070C0"/>
              </a:fgClr>
              <a:bgClr>
                <a:schemeClr val="bg1"/>
              </a:bgClr>
            </a:pattFill>
            <a:ln>
              <a:noFill/>
            </a:ln>
            <a:effectLst/>
          </c:spPr>
          <c:invertIfNegative val="0"/>
          <c:cat>
            <c:strRef>
              <c:f>Sheet!$T$120:$T$121</c:f>
              <c:strCache>
                <c:ptCount val="2"/>
                <c:pt idx="0">
                  <c:v>Zomer</c:v>
                </c:pt>
                <c:pt idx="1">
                  <c:v>Jaar</c:v>
                </c:pt>
              </c:strCache>
            </c:strRef>
          </c:cat>
          <c:val>
            <c:numRef>
              <c:f>Sheet!$AI$120:$AI$121</c:f>
              <c:numCache>
                <c:formatCode>0%</c:formatCode>
                <c:ptCount val="2"/>
                <c:pt idx="0">
                  <c:v>#N/A</c:v>
                </c:pt>
                <c:pt idx="1">
                  <c:v>#N/A</c:v>
                </c:pt>
              </c:numCache>
            </c:numRef>
          </c:val>
          <c:extLst>
            <c:ext xmlns:c16="http://schemas.microsoft.com/office/drawing/2014/chart" uri="{C3380CC4-5D6E-409C-BE32-E72D297353CC}">
              <c16:uniqueId val="{00000031-C4FB-431E-882B-5BF277DA3857}"/>
            </c:ext>
          </c:extLst>
        </c:ser>
        <c:ser>
          <c:idx val="15"/>
          <c:order val="15"/>
          <c:tx>
            <c:strRef>
              <c:f>Sheet!$AJ$117</c:f>
              <c:strCache>
                <c:ptCount val="1"/>
                <c:pt idx="0">
                  <c:v>Regen
waterriolen</c:v>
                </c:pt>
              </c:strCache>
            </c:strRef>
          </c:tx>
          <c:spPr>
            <a:pattFill prst="dkUpDiag">
              <a:fgClr>
                <a:srgbClr val="0070C0"/>
              </a:fgClr>
              <a:bgClr>
                <a:schemeClr val="bg1"/>
              </a:bgClr>
            </a:pattFill>
            <a:ln>
              <a:noFill/>
            </a:ln>
            <a:effectLst/>
          </c:spPr>
          <c:invertIfNegative val="0"/>
          <c:cat>
            <c:strRef>
              <c:f>Sheet!$T$120:$T$121</c:f>
              <c:strCache>
                <c:ptCount val="2"/>
                <c:pt idx="0">
                  <c:v>Zomer</c:v>
                </c:pt>
                <c:pt idx="1">
                  <c:v>Jaar</c:v>
                </c:pt>
              </c:strCache>
            </c:strRef>
          </c:cat>
          <c:val>
            <c:numRef>
              <c:f>Sheet!$AJ$120:$AJ$121</c:f>
              <c:numCache>
                <c:formatCode>0%</c:formatCode>
                <c:ptCount val="2"/>
                <c:pt idx="0">
                  <c:v>#N/A</c:v>
                </c:pt>
                <c:pt idx="1">
                  <c:v>#N/A</c:v>
                </c:pt>
              </c:numCache>
            </c:numRef>
          </c:val>
          <c:extLst>
            <c:ext xmlns:c16="http://schemas.microsoft.com/office/drawing/2014/chart" uri="{C3380CC4-5D6E-409C-BE32-E72D297353CC}">
              <c16:uniqueId val="{00000033-C4FB-431E-882B-5BF277DA3857}"/>
            </c:ext>
          </c:extLst>
        </c:ser>
        <c:ser>
          <c:idx val="16"/>
          <c:order val="16"/>
          <c:tx>
            <c:strRef>
              <c:f>Sheet!$AK$117</c:f>
              <c:strCache>
                <c:ptCount val="1"/>
                <c:pt idx="0">
                  <c:v>Water-
vogels</c:v>
                </c:pt>
              </c:strCache>
            </c:strRef>
          </c:tx>
          <c:spPr>
            <a:solidFill>
              <a:schemeClr val="accent6">
                <a:lumMod val="40000"/>
                <a:lumOff val="60000"/>
              </a:schemeClr>
            </a:solidFill>
            <a:ln>
              <a:noFill/>
            </a:ln>
            <a:effectLst/>
          </c:spPr>
          <c:invertIfNegative val="0"/>
          <c:cat>
            <c:strRef>
              <c:f>Sheet!$T$120:$T$121</c:f>
              <c:strCache>
                <c:ptCount val="2"/>
                <c:pt idx="0">
                  <c:v>Zomer</c:v>
                </c:pt>
                <c:pt idx="1">
                  <c:v>Jaar</c:v>
                </c:pt>
              </c:strCache>
            </c:strRef>
          </c:cat>
          <c:val>
            <c:numRef>
              <c:f>Sheet!$AK$120:$AK$121</c:f>
              <c:numCache>
                <c:formatCode>0%</c:formatCode>
                <c:ptCount val="2"/>
                <c:pt idx="0">
                  <c:v>#N/A</c:v>
                </c:pt>
                <c:pt idx="1">
                  <c:v>#N/A</c:v>
                </c:pt>
              </c:numCache>
            </c:numRef>
          </c:val>
          <c:extLst>
            <c:ext xmlns:c16="http://schemas.microsoft.com/office/drawing/2014/chart" uri="{C3380CC4-5D6E-409C-BE32-E72D297353CC}">
              <c16:uniqueId val="{00000035-C4FB-431E-882B-5BF277DA3857}"/>
            </c:ext>
          </c:extLst>
        </c:ser>
        <c:ser>
          <c:idx val="17"/>
          <c:order val="17"/>
          <c:tx>
            <c:strRef>
              <c:f>Sheet!$AL$117</c:f>
              <c:strCache>
                <c:ptCount val="1"/>
                <c:pt idx="0">
                  <c:v>Binnen-
vaart</c:v>
                </c:pt>
              </c:strCache>
            </c:strRef>
          </c:tx>
          <c:spPr>
            <a:solidFill>
              <a:schemeClr val="accent5">
                <a:lumMod val="20000"/>
                <a:lumOff val="80000"/>
              </a:schemeClr>
            </a:solidFill>
            <a:ln>
              <a:noFill/>
            </a:ln>
            <a:effectLst/>
          </c:spPr>
          <c:invertIfNegative val="0"/>
          <c:cat>
            <c:strRef>
              <c:f>Sheet!$T$120:$T$121</c:f>
              <c:strCache>
                <c:ptCount val="2"/>
                <c:pt idx="0">
                  <c:v>Zomer</c:v>
                </c:pt>
                <c:pt idx="1">
                  <c:v>Jaar</c:v>
                </c:pt>
              </c:strCache>
            </c:strRef>
          </c:cat>
          <c:val>
            <c:numRef>
              <c:f>Sheet!$AL$120:$AL$121</c:f>
              <c:numCache>
                <c:formatCode>0%</c:formatCode>
                <c:ptCount val="2"/>
                <c:pt idx="0">
                  <c:v>#N/A</c:v>
                </c:pt>
                <c:pt idx="1">
                  <c:v>#N/A</c:v>
                </c:pt>
              </c:numCache>
            </c:numRef>
          </c:val>
          <c:extLst>
            <c:ext xmlns:c16="http://schemas.microsoft.com/office/drawing/2014/chart" uri="{C3380CC4-5D6E-409C-BE32-E72D297353CC}">
              <c16:uniqueId val="{00000037-C4FB-431E-882B-5BF277DA3857}"/>
            </c:ext>
          </c:extLst>
        </c:ser>
        <c:ser>
          <c:idx val="18"/>
          <c:order val="18"/>
          <c:tx>
            <c:strRef>
              <c:f>Sheet!$AM$117</c:f>
              <c:strCache>
                <c:ptCount val="1"/>
                <c:pt idx="0">
                  <c:v>Overige</c:v>
                </c:pt>
              </c:strCache>
            </c:strRef>
          </c:tx>
          <c:spPr>
            <a:solidFill>
              <a:schemeClr val="bg2"/>
            </a:solidFill>
            <a:ln>
              <a:noFill/>
            </a:ln>
            <a:effectLst/>
          </c:spPr>
          <c:invertIfNegative val="0"/>
          <c:cat>
            <c:strRef>
              <c:f>Sheet!$T$120:$T$121</c:f>
              <c:strCache>
                <c:ptCount val="2"/>
                <c:pt idx="0">
                  <c:v>Zomer</c:v>
                </c:pt>
                <c:pt idx="1">
                  <c:v>Jaar</c:v>
                </c:pt>
              </c:strCache>
            </c:strRef>
          </c:cat>
          <c:val>
            <c:numRef>
              <c:f>Sheet!$AM$120:$AM$121</c:f>
              <c:numCache>
                <c:formatCode>0%</c:formatCode>
                <c:ptCount val="2"/>
                <c:pt idx="0">
                  <c:v>#N/A</c:v>
                </c:pt>
                <c:pt idx="1">
                  <c:v>#N/A</c:v>
                </c:pt>
              </c:numCache>
            </c:numRef>
          </c:val>
          <c:extLst>
            <c:ext xmlns:c16="http://schemas.microsoft.com/office/drawing/2014/chart" uri="{C3380CC4-5D6E-409C-BE32-E72D297353CC}">
              <c16:uniqueId val="{00000039-C4FB-431E-882B-5BF277DA3857}"/>
            </c:ext>
          </c:extLst>
        </c:ser>
        <c:ser>
          <c:idx val="19"/>
          <c:order val="19"/>
          <c:tx>
            <c:strRef>
              <c:f>Sheet!$AN$117</c:f>
              <c:strCache>
                <c:ptCount val="1"/>
                <c:pt idx="0">
                  <c:v>Inlaat Rijkswater</c:v>
                </c:pt>
              </c:strCache>
            </c:strRef>
          </c:tx>
          <c:spPr>
            <a:solidFill>
              <a:schemeClr val="accent4"/>
            </a:solidFill>
            <a:ln>
              <a:noFill/>
            </a:ln>
            <a:effectLst/>
          </c:spPr>
          <c:invertIfNegative val="0"/>
          <c:cat>
            <c:strRef>
              <c:f>Sheet!$T$120:$T$121</c:f>
              <c:strCache>
                <c:ptCount val="2"/>
                <c:pt idx="0">
                  <c:v>Zomer</c:v>
                </c:pt>
                <c:pt idx="1">
                  <c:v>Jaar</c:v>
                </c:pt>
              </c:strCache>
            </c:strRef>
          </c:cat>
          <c:val>
            <c:numRef>
              <c:f>Sheet!$AN$120:$AN$121</c:f>
              <c:numCache>
                <c:formatCode>0%</c:formatCode>
                <c:ptCount val="2"/>
                <c:pt idx="0">
                  <c:v>#N/A</c:v>
                </c:pt>
                <c:pt idx="1">
                  <c:v>#N/A</c:v>
                </c:pt>
              </c:numCache>
            </c:numRef>
          </c:val>
          <c:extLst>
            <c:ext xmlns:c16="http://schemas.microsoft.com/office/drawing/2014/chart" uri="{C3380CC4-5D6E-409C-BE32-E72D297353CC}">
              <c16:uniqueId val="{0000003B-C4FB-431E-882B-5BF277DA3857}"/>
            </c:ext>
          </c:extLst>
        </c:ser>
        <c:dLbls>
          <c:showLegendKey val="0"/>
          <c:showVal val="0"/>
          <c:showCatName val="0"/>
          <c:showSerName val="0"/>
          <c:showPercent val="0"/>
          <c:showBubbleSize val="0"/>
        </c:dLbls>
        <c:gapWidth val="150"/>
        <c:overlap val="100"/>
        <c:axId val="142744144"/>
        <c:axId val="142727824"/>
      </c:barChart>
      <c:catAx>
        <c:axId val="14274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nl-NL"/>
          </a:p>
        </c:txPr>
        <c:crossAx val="142727824"/>
        <c:crosses val="autoZero"/>
        <c:auto val="1"/>
        <c:lblAlgn val="ctr"/>
        <c:lblOffset val="100"/>
        <c:noMultiLvlLbl val="0"/>
      </c:catAx>
      <c:valAx>
        <c:axId val="1427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nl-NL"/>
          </a:p>
        </c:txPr>
        <c:crossAx val="142744144"/>
        <c:crosses val="autoZero"/>
        <c:crossBetween val="between"/>
      </c:valAx>
    </c:plotArea>
    <c:plotVisOnly val="1"/>
    <c:dispBlanksAs val="gap"/>
    <c:showDLblsOverMax val="0"/>
    <c:extLst/>
  </c:chart>
  <c:txPr>
    <a:bodyPr/>
    <a:lstStyle/>
    <a:p>
      <a:pPr>
        <a:defRPr sz="1200"/>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Stikstof</a:t>
            </a:r>
          </a:p>
        </c:rich>
      </c:tx>
      <c:overlay val="0"/>
      <c:spPr>
        <a:noFill/>
        <a:ln>
          <a:noFill/>
        </a:ln>
        <a:effectLst/>
      </c:spPr>
    </c:title>
    <c:autoTitleDeleted val="0"/>
    <c:plotArea>
      <c:layout/>
      <c:lineChart>
        <c:grouping val="standard"/>
        <c:varyColors val="0"/>
        <c:ser>
          <c:idx val="0"/>
          <c:order val="0"/>
          <c:tx>
            <c:strRef>
              <c:f>Sheet!$AL$29</c:f>
              <c:strCache>
                <c:ptCount val="1"/>
                <c:pt idx="0">
                  <c:v>Zomer gemiddeld</c:v>
                </c:pt>
              </c:strCache>
            </c:strRef>
          </c:tx>
          <c:spPr>
            <a:ln w="22225" cap="rnd">
              <a:noFill/>
              <a:round/>
            </a:ln>
            <a:effectLst/>
          </c:spPr>
          <c:marker>
            <c:symbol val="circle"/>
            <c:size val="8"/>
            <c:spPr>
              <a:solidFill>
                <a:srgbClr val="00B0F0"/>
              </a:solidFill>
              <a:ln w="9525">
                <a:solidFill>
                  <a:schemeClr val="accent1"/>
                </a:solidFill>
              </a:ln>
              <a:effectLst/>
            </c:spPr>
          </c:marker>
          <c:cat>
            <c:numRef>
              <c:f>Sheet!$AM$28:$AY$28</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Sheet!$AM$29:$AY$29</c:f>
              <c:numCache>
                <c:formatCode>General</c:formatCode>
                <c:ptCount val="13"/>
                <c:pt idx="0">
                  <c:v>0.46</c:v>
                </c:pt>
                <c:pt idx="1">
                  <c:v>0.81</c:v>
                </c:pt>
                <c:pt idx="2">
                  <c:v>0.95</c:v>
                </c:pt>
                <c:pt idx="3">
                  <c:v>0.88</c:v>
                </c:pt>
                <c:pt idx="4">
                  <c:v>0.57999999999999996</c:v>
                </c:pt>
                <c:pt idx="5">
                  <c:v>0.45</c:v>
                </c:pt>
                <c:pt idx="6">
                  <c:v>0.5</c:v>
                </c:pt>
                <c:pt idx="7">
                  <c:v>0.48</c:v>
                </c:pt>
                <c:pt idx="8">
                  <c:v>0.44</c:v>
                </c:pt>
                <c:pt idx="9">
                  <c:v>0.28000000000000003</c:v>
                </c:pt>
                <c:pt idx="10">
                  <c:v>0.52</c:v>
                </c:pt>
                <c:pt idx="11">
                  <c:v>0.62</c:v>
                </c:pt>
                <c:pt idx="12">
                  <c:v>0.57999999999999996</c:v>
                </c:pt>
              </c:numCache>
            </c:numRef>
          </c:val>
          <c:smooth val="0"/>
          <c:extLst>
            <c:ext xmlns:c16="http://schemas.microsoft.com/office/drawing/2014/chart" uri="{C3380CC4-5D6E-409C-BE32-E72D297353CC}">
              <c16:uniqueId val="{00000005-7640-449B-9CD0-B3B09FF3DD93}"/>
            </c:ext>
          </c:extLst>
        </c:ser>
        <c:ser>
          <c:idx val="1"/>
          <c:order val="1"/>
          <c:tx>
            <c:strRef>
              <c:f>Sheet!$AL$30</c:f>
              <c:strCache>
                <c:ptCount val="1"/>
                <c:pt idx="0">
                  <c:v>GEP4</c:v>
                </c:pt>
              </c:strCache>
            </c:strRef>
          </c:tx>
          <c:spPr>
            <a:ln w="22225" cap="rnd">
              <a:solidFill>
                <a:srgbClr val="FF0000"/>
              </a:solidFill>
              <a:prstDash val="sysDash"/>
              <a:round/>
            </a:ln>
            <a:effectLst/>
          </c:spPr>
          <c:marker>
            <c:symbol val="none"/>
          </c:marker>
          <c:cat>
            <c:numRef>
              <c:f>Sheet!$AM$28:$AY$28</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Sheet!$AM$30:$AY$30</c:f>
              <c:numCache>
                <c:formatCode>General</c:formatCode>
                <c:ptCount val="13"/>
                <c:pt idx="0">
                  <c:v>0.9</c:v>
                </c:pt>
                <c:pt idx="1">
                  <c:v>0.9</c:v>
                </c:pt>
                <c:pt idx="2">
                  <c:v>0.9</c:v>
                </c:pt>
                <c:pt idx="3">
                  <c:v>0.9</c:v>
                </c:pt>
                <c:pt idx="4">
                  <c:v>0.9</c:v>
                </c:pt>
                <c:pt idx="5">
                  <c:v>0.9</c:v>
                </c:pt>
                <c:pt idx="6">
                  <c:v>0.9</c:v>
                </c:pt>
                <c:pt idx="7">
                  <c:v>0.9</c:v>
                </c:pt>
                <c:pt idx="8">
                  <c:v>0.9</c:v>
                </c:pt>
                <c:pt idx="9">
                  <c:v>0.9</c:v>
                </c:pt>
                <c:pt idx="10">
                  <c:v>0.9</c:v>
                </c:pt>
                <c:pt idx="11">
                  <c:v>0.9</c:v>
                </c:pt>
                <c:pt idx="12">
                  <c:v>0.9</c:v>
                </c:pt>
              </c:numCache>
            </c:numRef>
          </c:val>
          <c:smooth val="0"/>
          <c:extLst>
            <c:ext xmlns:c16="http://schemas.microsoft.com/office/drawing/2014/chart" uri="{C3380CC4-5D6E-409C-BE32-E72D297353CC}">
              <c16:uniqueId val="{00000007-7640-449B-9CD0-B3B09FF3DD93}"/>
            </c:ext>
          </c:extLst>
        </c:ser>
        <c:dLbls>
          <c:showLegendKey val="0"/>
          <c:showVal val="0"/>
          <c:showCatName val="0"/>
          <c:showSerName val="0"/>
          <c:showPercent val="0"/>
          <c:showBubbleSize val="0"/>
        </c:dLbls>
        <c:marker val="1"/>
        <c:smooth val="0"/>
        <c:axId val="665941072"/>
        <c:axId val="665935312"/>
      </c:lineChart>
      <c:catAx>
        <c:axId val="6659410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nl-NL"/>
          </a:p>
        </c:txPr>
        <c:crossAx val="665935312"/>
        <c:crosses val="autoZero"/>
        <c:auto val="1"/>
        <c:lblAlgn val="ctr"/>
        <c:lblOffset val="100"/>
        <c:noMultiLvlLbl val="0"/>
      </c:catAx>
      <c:valAx>
        <c:axId val="665935312"/>
        <c:scaling>
          <c:orientation val="minMax"/>
          <c:min val="1.0000000000000004E-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t>mgN/l</a:t>
                </a:r>
              </a:p>
            </c:rich>
          </c:tx>
          <c:overlay val="0"/>
          <c:spPr>
            <a:noFill/>
            <a:ln>
              <a:noFill/>
            </a:ln>
            <a:effectLst/>
          </c:spPr>
        </c:title>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crossAx val="665941072"/>
        <c:crosses val="autoZero"/>
        <c:crossBetween val="between"/>
      </c:valAx>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Chloride</a:t>
            </a:r>
          </a:p>
        </c:rich>
      </c:tx>
      <c:overlay val="0"/>
      <c:spPr>
        <a:noFill/>
        <a:ln>
          <a:noFill/>
        </a:ln>
        <a:effectLst/>
      </c:spPr>
    </c:title>
    <c:autoTitleDeleted val="0"/>
    <c:plotArea>
      <c:layout/>
      <c:lineChart>
        <c:grouping val="standard"/>
        <c:varyColors val="0"/>
        <c:ser>
          <c:idx val="0"/>
          <c:order val="0"/>
          <c:tx>
            <c:strRef>
              <c:f>Sheet!$T$48</c:f>
              <c:strCache>
                <c:ptCount val="1"/>
                <c:pt idx="0">
                  <c:v>Zomer gemiddeld</c:v>
                </c:pt>
              </c:strCache>
            </c:strRef>
          </c:tx>
          <c:spPr>
            <a:ln w="22225" cap="rnd">
              <a:noFill/>
              <a:round/>
            </a:ln>
            <a:effectLst/>
          </c:spPr>
          <c:marker>
            <c:symbol val="circle"/>
            <c:size val="8"/>
            <c:spPr>
              <a:solidFill>
                <a:srgbClr val="00B0F0"/>
              </a:solidFill>
              <a:ln w="9525">
                <a:solidFill>
                  <a:schemeClr val="accent1"/>
                </a:solidFill>
              </a:ln>
              <a:effectLst/>
            </c:spPr>
          </c:marker>
          <c:cat>
            <c:numRef>
              <c:f>Sheet!$U$47:$AG$47</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Sheet!$U$48:$AG$48</c:f>
              <c:numCache>
                <c:formatCode>General</c:formatCode>
                <c:ptCount val="13"/>
                <c:pt idx="0">
                  <c:v>192</c:v>
                </c:pt>
                <c:pt idx="1">
                  <c:v>192</c:v>
                </c:pt>
                <c:pt idx="2">
                  <c:v>178</c:v>
                </c:pt>
                <c:pt idx="3">
                  <c:v>201</c:v>
                </c:pt>
                <c:pt idx="4">
                  <c:v>163</c:v>
                </c:pt>
                <c:pt idx="5">
                  <c:v>181</c:v>
                </c:pt>
                <c:pt idx="6">
                  <c:v>172</c:v>
                </c:pt>
                <c:pt idx="7">
                  <c:v>181</c:v>
                </c:pt>
                <c:pt idx="8">
                  <c:v>157</c:v>
                </c:pt>
                <c:pt idx="9">
                  <c:v>150</c:v>
                </c:pt>
                <c:pt idx="10">
                  <c:v>157</c:v>
                </c:pt>
                <c:pt idx="11">
                  <c:v>148</c:v>
                </c:pt>
                <c:pt idx="12">
                  <c:v>123</c:v>
                </c:pt>
              </c:numCache>
            </c:numRef>
          </c:val>
          <c:smooth val="0"/>
          <c:extLst>
            <c:ext xmlns:c16="http://schemas.microsoft.com/office/drawing/2014/chart" uri="{C3380CC4-5D6E-409C-BE32-E72D297353CC}">
              <c16:uniqueId val="{00000005-7CA8-4539-BE59-1B61FD33A12C}"/>
            </c:ext>
          </c:extLst>
        </c:ser>
        <c:ser>
          <c:idx val="1"/>
          <c:order val="1"/>
          <c:tx>
            <c:strRef>
              <c:f>Sheet!$T$49</c:f>
              <c:strCache>
                <c:ptCount val="1"/>
                <c:pt idx="0">
                  <c:v>GEP4</c:v>
                </c:pt>
              </c:strCache>
            </c:strRef>
          </c:tx>
          <c:spPr>
            <a:ln w="22225" cap="rnd">
              <a:solidFill>
                <a:srgbClr val="FF0000"/>
              </a:solidFill>
              <a:prstDash val="sysDash"/>
              <a:round/>
            </a:ln>
            <a:effectLst/>
          </c:spPr>
          <c:marker>
            <c:symbol val="none"/>
          </c:marker>
          <c:cat>
            <c:numRef>
              <c:f>Sheet!$U$47:$AG$47</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Sheet!$U$49:$AG$49</c:f>
              <c:numCache>
                <c:formatCode>General</c:formatCode>
                <c:ptCount val="13"/>
                <c:pt idx="0">
                  <c:v>200</c:v>
                </c:pt>
                <c:pt idx="1">
                  <c:v>200</c:v>
                </c:pt>
                <c:pt idx="2">
                  <c:v>200</c:v>
                </c:pt>
                <c:pt idx="3">
                  <c:v>200</c:v>
                </c:pt>
                <c:pt idx="4">
                  <c:v>200</c:v>
                </c:pt>
                <c:pt idx="5">
                  <c:v>200</c:v>
                </c:pt>
                <c:pt idx="6">
                  <c:v>200</c:v>
                </c:pt>
                <c:pt idx="7">
                  <c:v>200</c:v>
                </c:pt>
                <c:pt idx="8">
                  <c:v>200</c:v>
                </c:pt>
                <c:pt idx="9">
                  <c:v>200</c:v>
                </c:pt>
                <c:pt idx="10">
                  <c:v>200</c:v>
                </c:pt>
                <c:pt idx="11">
                  <c:v>200</c:v>
                </c:pt>
                <c:pt idx="12">
                  <c:v>200</c:v>
                </c:pt>
              </c:numCache>
            </c:numRef>
          </c:val>
          <c:smooth val="0"/>
          <c:extLst>
            <c:ext xmlns:c16="http://schemas.microsoft.com/office/drawing/2014/chart" uri="{C3380CC4-5D6E-409C-BE32-E72D297353CC}">
              <c16:uniqueId val="{00000007-7CA8-4539-BE59-1B61FD33A12C}"/>
            </c:ext>
          </c:extLst>
        </c:ser>
        <c:dLbls>
          <c:showLegendKey val="0"/>
          <c:showVal val="0"/>
          <c:showCatName val="0"/>
          <c:showSerName val="0"/>
          <c:showPercent val="0"/>
          <c:showBubbleSize val="0"/>
        </c:dLbls>
        <c:marker val="1"/>
        <c:smooth val="0"/>
        <c:axId val="665941072"/>
        <c:axId val="665935312"/>
      </c:lineChart>
      <c:catAx>
        <c:axId val="6659410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nl-NL"/>
          </a:p>
        </c:txPr>
        <c:crossAx val="665935312"/>
        <c:crosses val="autoZero"/>
        <c:auto val="1"/>
        <c:lblAlgn val="ctr"/>
        <c:lblOffset val="100"/>
        <c:noMultiLvlLbl val="0"/>
      </c:catAx>
      <c:valAx>
        <c:axId val="665935312"/>
        <c:scaling>
          <c:orientation val="minMax"/>
          <c:min val="1.0000000000000002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t>mg/l</a:t>
                </a:r>
              </a:p>
            </c:rich>
          </c:tx>
          <c:overlay val="0"/>
          <c:spPr>
            <a:noFill/>
            <a:ln>
              <a:noFill/>
            </a:ln>
            <a:effectLst/>
          </c:sp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crossAx val="665941072"/>
        <c:crosses val="autoZero"/>
        <c:crossBetween val="between"/>
      </c:valAx>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Doorzicht</a:t>
            </a:r>
          </a:p>
        </c:rich>
      </c:tx>
      <c:overlay val="0"/>
      <c:spPr>
        <a:noFill/>
        <a:ln>
          <a:noFill/>
        </a:ln>
        <a:effectLst/>
      </c:spPr>
    </c:title>
    <c:autoTitleDeleted val="0"/>
    <c:plotArea>
      <c:layout/>
      <c:lineChart>
        <c:grouping val="standard"/>
        <c:varyColors val="0"/>
        <c:ser>
          <c:idx val="0"/>
          <c:order val="0"/>
          <c:tx>
            <c:strRef>
              <c:f>Sheet!$AL$48</c:f>
              <c:strCache>
                <c:ptCount val="1"/>
                <c:pt idx="0">
                  <c:v>Zomer gemiddeld</c:v>
                </c:pt>
              </c:strCache>
            </c:strRef>
          </c:tx>
          <c:spPr>
            <a:ln w="22225" cap="rnd">
              <a:noFill/>
              <a:round/>
            </a:ln>
            <a:effectLst/>
          </c:spPr>
          <c:marker>
            <c:symbol val="circle"/>
            <c:size val="8"/>
            <c:spPr>
              <a:solidFill>
                <a:srgbClr val="00B0F0"/>
              </a:solidFill>
              <a:ln w="9525">
                <a:solidFill>
                  <a:schemeClr val="accent1"/>
                </a:solidFill>
              </a:ln>
              <a:effectLst/>
            </c:spPr>
          </c:marker>
          <c:cat>
            <c:numRef>
              <c:f>Sheet!$AM$47:$AY$47</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Sheet!$AM$48:$AY$48</c:f>
              <c:numCache>
                <c:formatCode>General</c:formatCode>
                <c:ptCount val="13"/>
                <c:pt idx="0">
                  <c:v>1.7</c:v>
                </c:pt>
                <c:pt idx="1">
                  <c:v>1.7</c:v>
                </c:pt>
                <c:pt idx="2">
                  <c:v>2.25</c:v>
                </c:pt>
                <c:pt idx="3">
                  <c:v>1.72</c:v>
                </c:pt>
                <c:pt idx="4">
                  <c:v>1.63</c:v>
                </c:pt>
                <c:pt idx="5">
                  <c:v>2.19</c:v>
                </c:pt>
                <c:pt idx="6">
                  <c:v>1.69</c:v>
                </c:pt>
                <c:pt idx="7">
                  <c:v>1.7</c:v>
                </c:pt>
                <c:pt idx="8">
                  <c:v>1.98</c:v>
                </c:pt>
                <c:pt idx="9">
                  <c:v>1.7</c:v>
                </c:pt>
                <c:pt idx="10">
                  <c:v>1.7</c:v>
                </c:pt>
                <c:pt idx="11">
                  <c:v>1.96</c:v>
                </c:pt>
                <c:pt idx="12">
                  <c:v>1.7</c:v>
                </c:pt>
              </c:numCache>
            </c:numRef>
          </c:val>
          <c:smooth val="0"/>
          <c:extLst>
            <c:ext xmlns:c16="http://schemas.microsoft.com/office/drawing/2014/chart" uri="{C3380CC4-5D6E-409C-BE32-E72D297353CC}">
              <c16:uniqueId val="{00000005-CDFE-47AB-979A-6ED9858062C7}"/>
            </c:ext>
          </c:extLst>
        </c:ser>
        <c:ser>
          <c:idx val="1"/>
          <c:order val="1"/>
          <c:tx>
            <c:strRef>
              <c:f>Sheet!$AL$49</c:f>
              <c:strCache>
                <c:ptCount val="1"/>
                <c:pt idx="0">
                  <c:v>GEP4</c:v>
                </c:pt>
              </c:strCache>
            </c:strRef>
          </c:tx>
          <c:spPr>
            <a:ln w="22225" cap="rnd">
              <a:solidFill>
                <a:srgbClr val="FF0000"/>
              </a:solidFill>
              <a:prstDash val="sysDash"/>
              <a:round/>
            </a:ln>
            <a:effectLst/>
          </c:spPr>
          <c:marker>
            <c:symbol val="none"/>
          </c:marker>
          <c:cat>
            <c:numRef>
              <c:f>Sheet!$AM$47:$AY$47</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Sheet!$AM$49:$AY$49</c:f>
              <c:numCache>
                <c:formatCode>General</c:formatCode>
                <c:ptCount val="13"/>
                <c:pt idx="0">
                  <c:v>1.7</c:v>
                </c:pt>
                <c:pt idx="1">
                  <c:v>1.7</c:v>
                </c:pt>
                <c:pt idx="2">
                  <c:v>1.7</c:v>
                </c:pt>
                <c:pt idx="3">
                  <c:v>1.7</c:v>
                </c:pt>
                <c:pt idx="4">
                  <c:v>1.7</c:v>
                </c:pt>
                <c:pt idx="5">
                  <c:v>1.7</c:v>
                </c:pt>
                <c:pt idx="6">
                  <c:v>1.7</c:v>
                </c:pt>
                <c:pt idx="7">
                  <c:v>1.7</c:v>
                </c:pt>
                <c:pt idx="8">
                  <c:v>1.7</c:v>
                </c:pt>
                <c:pt idx="9">
                  <c:v>1.7</c:v>
                </c:pt>
                <c:pt idx="10">
                  <c:v>1.7</c:v>
                </c:pt>
                <c:pt idx="11">
                  <c:v>1.7</c:v>
                </c:pt>
                <c:pt idx="12">
                  <c:v>1.7</c:v>
                </c:pt>
              </c:numCache>
            </c:numRef>
          </c:val>
          <c:smooth val="0"/>
          <c:extLst>
            <c:ext xmlns:c16="http://schemas.microsoft.com/office/drawing/2014/chart" uri="{C3380CC4-5D6E-409C-BE32-E72D297353CC}">
              <c16:uniqueId val="{00000007-CDFE-47AB-979A-6ED9858062C7}"/>
            </c:ext>
          </c:extLst>
        </c:ser>
        <c:dLbls>
          <c:showLegendKey val="0"/>
          <c:showVal val="0"/>
          <c:showCatName val="0"/>
          <c:showSerName val="0"/>
          <c:showPercent val="0"/>
          <c:showBubbleSize val="0"/>
        </c:dLbls>
        <c:marker val="1"/>
        <c:smooth val="0"/>
        <c:axId val="665941072"/>
        <c:axId val="665935312"/>
      </c:lineChart>
      <c:catAx>
        <c:axId val="6659410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nl-NL"/>
          </a:p>
        </c:txPr>
        <c:crossAx val="665935312"/>
        <c:crosses val="autoZero"/>
        <c:auto val="1"/>
        <c:lblAlgn val="ctr"/>
        <c:lblOffset val="100"/>
        <c:noMultiLvlLbl val="0"/>
      </c:catAx>
      <c:valAx>
        <c:axId val="665935312"/>
        <c:scaling>
          <c:orientation val="minMax"/>
          <c:min val="1.0000000000000004E-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t>meter</a:t>
                </a:r>
              </a:p>
            </c:rich>
          </c:tx>
          <c:overlay val="0"/>
          <c:spPr>
            <a:noFill/>
            <a:ln>
              <a:noFill/>
            </a:ln>
            <a:effectLst/>
          </c:spPr>
        </c:title>
        <c:numFmt formatCode="#,##0.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crossAx val="665941072"/>
        <c:crosses val="autoZero"/>
        <c:crossBetween val="between"/>
      </c:valAx>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Zuurstof</a:t>
            </a:r>
          </a:p>
        </c:rich>
      </c:tx>
      <c:overlay val="0"/>
      <c:spPr>
        <a:noFill/>
        <a:ln>
          <a:noFill/>
        </a:ln>
        <a:effectLst/>
      </c:spPr>
    </c:title>
    <c:autoTitleDeleted val="0"/>
    <c:plotArea>
      <c:layout/>
      <c:lineChart>
        <c:grouping val="standard"/>
        <c:varyColors val="0"/>
        <c:ser>
          <c:idx val="0"/>
          <c:order val="0"/>
          <c:tx>
            <c:strRef>
              <c:f>Sheet!$T$66</c:f>
              <c:strCache>
                <c:ptCount val="1"/>
                <c:pt idx="0">
                  <c:v>Zomer gemiddeld</c:v>
                </c:pt>
              </c:strCache>
            </c:strRef>
          </c:tx>
          <c:spPr>
            <a:ln w="22225" cap="rnd">
              <a:noFill/>
              <a:round/>
            </a:ln>
            <a:effectLst/>
          </c:spPr>
          <c:marker>
            <c:symbol val="circle"/>
            <c:size val="8"/>
            <c:spPr>
              <a:solidFill>
                <a:srgbClr val="00B0F0"/>
              </a:solidFill>
              <a:ln w="9525">
                <a:solidFill>
                  <a:schemeClr val="accent1"/>
                </a:solidFill>
              </a:ln>
              <a:effectLst/>
            </c:spPr>
          </c:marker>
          <c:cat>
            <c:numRef>
              <c:f>Sheet!$U$65:$AG$65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Sheet!$U$66:$AG$66</c:f>
              <c:numCache>
                <c:formatCode>General</c:formatCode>
                <c:ptCount val="13"/>
                <c:pt idx="0">
                  <c:v>110</c:v>
                </c:pt>
                <c:pt idx="1">
                  <c:v>111</c:v>
                </c:pt>
                <c:pt idx="2">
                  <c:v>106.9</c:v>
                </c:pt>
                <c:pt idx="3">
                  <c:v>97.4</c:v>
                </c:pt>
                <c:pt idx="4">
                  <c:v>102</c:v>
                </c:pt>
                <c:pt idx="5">
                  <c:v>105</c:v>
                </c:pt>
                <c:pt idx="6">
                  <c:v>97.58</c:v>
                </c:pt>
                <c:pt idx="7">
                  <c:v>106.9</c:v>
                </c:pt>
                <c:pt idx="8">
                  <c:v>107.8</c:v>
                </c:pt>
                <c:pt idx="9">
                  <c:v>93.9</c:v>
                </c:pt>
                <c:pt idx="10">
                  <c:v>120.2</c:v>
                </c:pt>
                <c:pt idx="11">
                  <c:v>99.94</c:v>
                </c:pt>
                <c:pt idx="12">
                  <c:v>111.7</c:v>
                </c:pt>
              </c:numCache>
            </c:numRef>
          </c:val>
          <c:smooth val="0"/>
          <c:extLst>
            <c:ext xmlns:c16="http://schemas.microsoft.com/office/drawing/2014/chart" uri="{C3380CC4-5D6E-409C-BE32-E72D297353CC}">
              <c16:uniqueId val="{00000007-A2AA-4004-8FAF-E7800D58A35A}"/>
            </c:ext>
          </c:extLst>
        </c:ser>
        <c:ser>
          <c:idx val="1"/>
          <c:order val="1"/>
          <c:tx>
            <c:strRef>
              <c:f>Sheet!$T$67</c:f>
              <c:strCache>
                <c:ptCount val="1"/>
                <c:pt idx="0">
                  <c:v>GEP4 ondergrens</c:v>
                </c:pt>
              </c:strCache>
            </c:strRef>
          </c:tx>
          <c:spPr>
            <a:ln w="22225" cap="rnd">
              <a:solidFill>
                <a:srgbClr val="FF0000"/>
              </a:solidFill>
              <a:prstDash val="sysDot"/>
              <a:round/>
            </a:ln>
            <a:effectLst/>
          </c:spPr>
          <c:marker>
            <c:symbol val="none"/>
          </c:marker>
          <c:cat>
            <c:numRef>
              <c:f>Sheet!$U$65:$AG$65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Sheet!$U$67:$AG$67</c:f>
              <c:numCache>
                <c:formatCode>General</c:formatCode>
                <c:ptCount val="13"/>
                <c:pt idx="0">
                  <c:v>60</c:v>
                </c:pt>
                <c:pt idx="1">
                  <c:v>60</c:v>
                </c:pt>
                <c:pt idx="2">
                  <c:v>60</c:v>
                </c:pt>
                <c:pt idx="3">
                  <c:v>60</c:v>
                </c:pt>
                <c:pt idx="4">
                  <c:v>60</c:v>
                </c:pt>
                <c:pt idx="5">
                  <c:v>60</c:v>
                </c:pt>
                <c:pt idx="6">
                  <c:v>60</c:v>
                </c:pt>
                <c:pt idx="7">
                  <c:v>60</c:v>
                </c:pt>
                <c:pt idx="8">
                  <c:v>60</c:v>
                </c:pt>
                <c:pt idx="9">
                  <c:v>60</c:v>
                </c:pt>
                <c:pt idx="10">
                  <c:v>60</c:v>
                </c:pt>
                <c:pt idx="11">
                  <c:v>60</c:v>
                </c:pt>
                <c:pt idx="12">
                  <c:v>60</c:v>
                </c:pt>
              </c:numCache>
            </c:numRef>
          </c:val>
          <c:smooth val="0"/>
          <c:extLst>
            <c:ext xmlns:c16="http://schemas.microsoft.com/office/drawing/2014/chart" uri="{C3380CC4-5D6E-409C-BE32-E72D297353CC}">
              <c16:uniqueId val="{00000009-A2AA-4004-8FAF-E7800D58A35A}"/>
            </c:ext>
          </c:extLst>
        </c:ser>
        <c:ser>
          <c:idx val="2"/>
          <c:order val="2"/>
          <c:tx>
            <c:strRef>
              <c:f>Sheet!$T$68</c:f>
              <c:strCache>
                <c:ptCount val="1"/>
                <c:pt idx="0">
                  <c:v>GEP4 bovengrens</c:v>
                </c:pt>
              </c:strCache>
            </c:strRef>
          </c:tx>
          <c:spPr>
            <a:ln w="22225" cap="rnd">
              <a:solidFill>
                <a:srgbClr val="FF0000"/>
              </a:solidFill>
              <a:prstDash val="sysDash"/>
              <a:round/>
            </a:ln>
            <a:effectLst/>
          </c:spPr>
          <c:marker>
            <c:symbol val="none"/>
          </c:marker>
          <c:cat>
            <c:numRef>
              <c:f>Sheet!$U$65:$AG$65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Sheet!$U$68:$AG$68</c:f>
              <c:numCache>
                <c:formatCode>General</c:formatCode>
                <c:ptCount val="13"/>
                <c:pt idx="0">
                  <c:v>120</c:v>
                </c:pt>
                <c:pt idx="1">
                  <c:v>120</c:v>
                </c:pt>
                <c:pt idx="2">
                  <c:v>120</c:v>
                </c:pt>
                <c:pt idx="3">
                  <c:v>120</c:v>
                </c:pt>
                <c:pt idx="4">
                  <c:v>120</c:v>
                </c:pt>
                <c:pt idx="5">
                  <c:v>120</c:v>
                </c:pt>
                <c:pt idx="6">
                  <c:v>120</c:v>
                </c:pt>
                <c:pt idx="7">
                  <c:v>120</c:v>
                </c:pt>
                <c:pt idx="8">
                  <c:v>120</c:v>
                </c:pt>
                <c:pt idx="9">
                  <c:v>120</c:v>
                </c:pt>
                <c:pt idx="10">
                  <c:v>120</c:v>
                </c:pt>
                <c:pt idx="11">
                  <c:v>120</c:v>
                </c:pt>
                <c:pt idx="12">
                  <c:v>120</c:v>
                </c:pt>
              </c:numCache>
            </c:numRef>
          </c:val>
          <c:smooth val="0"/>
          <c:extLst>
            <c:ext xmlns:c16="http://schemas.microsoft.com/office/drawing/2014/chart" uri="{C3380CC4-5D6E-409C-BE32-E72D297353CC}">
              <c16:uniqueId val="{0000000B-A2AA-4004-8FAF-E7800D58A35A}"/>
            </c:ext>
          </c:extLst>
        </c:ser>
        <c:dLbls>
          <c:showLegendKey val="0"/>
          <c:showVal val="0"/>
          <c:showCatName val="0"/>
          <c:showSerName val="0"/>
          <c:showPercent val="0"/>
          <c:showBubbleSize val="0"/>
        </c:dLbls>
        <c:marker val="1"/>
        <c:smooth val="0"/>
        <c:axId val="665941072"/>
        <c:axId val="665935312"/>
      </c:lineChart>
      <c:catAx>
        <c:axId val="6659410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nl-NL"/>
          </a:p>
        </c:txPr>
        <c:crossAx val="665935312"/>
        <c:crosses val="autoZero"/>
        <c:auto val="1"/>
        <c:lblAlgn val="ctr"/>
        <c:lblOffset val="100"/>
        <c:noMultiLvlLbl val="0"/>
      </c:catAx>
      <c:valAx>
        <c:axId val="665935312"/>
        <c:scaling>
          <c:orientation val="minMax"/>
          <c:min val="1.0000000000000002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t>Verzadigingspercentage</a:t>
                </a:r>
              </a:p>
            </c:rich>
          </c:tx>
          <c:overlay val="0"/>
          <c:spPr>
            <a:noFill/>
            <a:ln>
              <a:noFill/>
            </a:ln>
            <a:effectLst/>
          </c:sp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crossAx val="665941072"/>
        <c:crosses val="autoZero"/>
        <c:crossBetween val="between"/>
      </c:valAx>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Zuurgraad</a:t>
            </a:r>
          </a:p>
        </c:rich>
      </c:tx>
      <c:overlay val="0"/>
      <c:spPr>
        <a:noFill/>
        <a:ln>
          <a:noFill/>
        </a:ln>
        <a:effectLst/>
      </c:spPr>
    </c:title>
    <c:autoTitleDeleted val="0"/>
    <c:plotArea>
      <c:layout/>
      <c:lineChart>
        <c:grouping val="standard"/>
        <c:varyColors val="0"/>
        <c:ser>
          <c:idx val="0"/>
          <c:order val="0"/>
          <c:tx>
            <c:strRef>
              <c:f>Sheet!$AL$66</c:f>
              <c:strCache>
                <c:ptCount val="1"/>
                <c:pt idx="0">
                  <c:v>Zomer gemiddeld</c:v>
                </c:pt>
              </c:strCache>
            </c:strRef>
          </c:tx>
          <c:spPr>
            <a:ln w="22225" cap="rnd">
              <a:noFill/>
              <a:round/>
            </a:ln>
            <a:effectLst/>
          </c:spPr>
          <c:marker>
            <c:symbol val="circle"/>
            <c:size val="8"/>
            <c:spPr>
              <a:solidFill>
                <a:srgbClr val="00B0F0"/>
              </a:solidFill>
              <a:ln w="9525">
                <a:solidFill>
                  <a:schemeClr val="accent1"/>
                </a:solidFill>
              </a:ln>
              <a:effectLst/>
            </c:spPr>
          </c:marker>
          <c:cat>
            <c:numRef>
              <c:f>Sheet!$AM$65:$AY$65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Sheet!$AM$66:$AY$66</c:f>
              <c:numCache>
                <c:formatCode>General</c:formatCode>
                <c:ptCount val="13"/>
                <c:pt idx="0">
                  <c:v>8.4309999999999992</c:v>
                </c:pt>
                <c:pt idx="1">
                  <c:v>8.51</c:v>
                </c:pt>
                <c:pt idx="2">
                  <c:v>8.34</c:v>
                </c:pt>
                <c:pt idx="3">
                  <c:v>8.33</c:v>
                </c:pt>
                <c:pt idx="4">
                  <c:v>8.2899999999999991</c:v>
                </c:pt>
                <c:pt idx="5">
                  <c:v>8.32</c:v>
                </c:pt>
                <c:pt idx="6">
                  <c:v>8.2799999999999994</c:v>
                </c:pt>
                <c:pt idx="7">
                  <c:v>8.3000000000000007</c:v>
                </c:pt>
                <c:pt idx="8">
                  <c:v>8.31</c:v>
                </c:pt>
                <c:pt idx="9">
                  <c:v>8.24</c:v>
                </c:pt>
                <c:pt idx="10">
                  <c:v>8.48</c:v>
                </c:pt>
                <c:pt idx="11">
                  <c:v>8.2100000000000009</c:v>
                </c:pt>
                <c:pt idx="12">
                  <c:v>8.32</c:v>
                </c:pt>
              </c:numCache>
            </c:numRef>
          </c:val>
          <c:smooth val="0"/>
          <c:extLst>
            <c:ext xmlns:c16="http://schemas.microsoft.com/office/drawing/2014/chart" uri="{C3380CC4-5D6E-409C-BE32-E72D297353CC}">
              <c16:uniqueId val="{00000007-EB6E-4CDF-8D73-631A9BBACFEC}"/>
            </c:ext>
          </c:extLst>
        </c:ser>
        <c:ser>
          <c:idx val="1"/>
          <c:order val="1"/>
          <c:tx>
            <c:strRef>
              <c:f>Sheet!$AL$67</c:f>
              <c:strCache>
                <c:ptCount val="1"/>
                <c:pt idx="0">
                  <c:v>GEP4 ondergrens</c:v>
                </c:pt>
              </c:strCache>
            </c:strRef>
          </c:tx>
          <c:spPr>
            <a:ln w="22225" cap="rnd">
              <a:solidFill>
                <a:srgbClr val="FF0000"/>
              </a:solidFill>
              <a:prstDash val="sysDot"/>
              <a:round/>
            </a:ln>
            <a:effectLst/>
          </c:spPr>
          <c:marker>
            <c:symbol val="none"/>
          </c:marker>
          <c:cat>
            <c:numRef>
              <c:f>Sheet!$AM$65:$AY$65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Sheet!$AM$67:$AY$67</c:f>
              <c:numCache>
                <c:formatCode>General</c:formatCode>
                <c:ptCount val="13"/>
                <c:pt idx="0">
                  <c:v>6.5</c:v>
                </c:pt>
                <c:pt idx="1">
                  <c:v>6.5</c:v>
                </c:pt>
                <c:pt idx="2">
                  <c:v>6.5</c:v>
                </c:pt>
                <c:pt idx="3">
                  <c:v>6.5</c:v>
                </c:pt>
                <c:pt idx="4">
                  <c:v>6.5</c:v>
                </c:pt>
                <c:pt idx="5">
                  <c:v>6.5</c:v>
                </c:pt>
                <c:pt idx="6">
                  <c:v>6.5</c:v>
                </c:pt>
                <c:pt idx="7">
                  <c:v>6.5</c:v>
                </c:pt>
                <c:pt idx="8">
                  <c:v>6.5</c:v>
                </c:pt>
                <c:pt idx="9">
                  <c:v>6.5</c:v>
                </c:pt>
                <c:pt idx="10">
                  <c:v>6.5</c:v>
                </c:pt>
                <c:pt idx="11">
                  <c:v>6.5</c:v>
                </c:pt>
                <c:pt idx="12">
                  <c:v>6.5</c:v>
                </c:pt>
              </c:numCache>
            </c:numRef>
          </c:val>
          <c:smooth val="0"/>
          <c:extLst>
            <c:ext xmlns:c16="http://schemas.microsoft.com/office/drawing/2014/chart" uri="{C3380CC4-5D6E-409C-BE32-E72D297353CC}">
              <c16:uniqueId val="{00000009-EB6E-4CDF-8D73-631A9BBACFEC}"/>
            </c:ext>
          </c:extLst>
        </c:ser>
        <c:ser>
          <c:idx val="2"/>
          <c:order val="2"/>
          <c:tx>
            <c:strRef>
              <c:f>Sheet!$AL$68</c:f>
              <c:strCache>
                <c:ptCount val="1"/>
                <c:pt idx="0">
                  <c:v>GEP4 bovengrens</c:v>
                </c:pt>
              </c:strCache>
            </c:strRef>
          </c:tx>
          <c:spPr>
            <a:ln w="22225" cap="rnd">
              <a:solidFill>
                <a:srgbClr val="FF0000"/>
              </a:solidFill>
              <a:prstDash val="sysDash"/>
              <a:round/>
            </a:ln>
            <a:effectLst/>
          </c:spPr>
          <c:marker>
            <c:symbol val="none"/>
          </c:marker>
          <c:cat>
            <c:numRef>
              <c:f>Sheet!$AM$65:$AY$65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Sheet!$AM$68:$AY$68</c:f>
              <c:numCache>
                <c:formatCode>General</c:formatCode>
                <c:ptCount val="13"/>
                <c:pt idx="0">
                  <c:v>8.5</c:v>
                </c:pt>
                <c:pt idx="1">
                  <c:v>8.5</c:v>
                </c:pt>
                <c:pt idx="2">
                  <c:v>8.5</c:v>
                </c:pt>
                <c:pt idx="3">
                  <c:v>8.5</c:v>
                </c:pt>
                <c:pt idx="4">
                  <c:v>8.5</c:v>
                </c:pt>
                <c:pt idx="5">
                  <c:v>8.5</c:v>
                </c:pt>
                <c:pt idx="6">
                  <c:v>8.5</c:v>
                </c:pt>
                <c:pt idx="7">
                  <c:v>8.5</c:v>
                </c:pt>
                <c:pt idx="8">
                  <c:v>8.5</c:v>
                </c:pt>
                <c:pt idx="9">
                  <c:v>8.5</c:v>
                </c:pt>
                <c:pt idx="10">
                  <c:v>8.5</c:v>
                </c:pt>
                <c:pt idx="11">
                  <c:v>8.5</c:v>
                </c:pt>
                <c:pt idx="12">
                  <c:v>8.5</c:v>
                </c:pt>
              </c:numCache>
            </c:numRef>
          </c:val>
          <c:smooth val="0"/>
          <c:extLst>
            <c:ext xmlns:c16="http://schemas.microsoft.com/office/drawing/2014/chart" uri="{C3380CC4-5D6E-409C-BE32-E72D297353CC}">
              <c16:uniqueId val="{0000000B-EB6E-4CDF-8D73-631A9BBACFEC}"/>
            </c:ext>
          </c:extLst>
        </c:ser>
        <c:dLbls>
          <c:showLegendKey val="0"/>
          <c:showVal val="0"/>
          <c:showCatName val="0"/>
          <c:showSerName val="0"/>
          <c:showPercent val="0"/>
          <c:showBubbleSize val="0"/>
        </c:dLbls>
        <c:marker val="1"/>
        <c:smooth val="0"/>
        <c:axId val="665941072"/>
        <c:axId val="665935312"/>
      </c:lineChart>
      <c:catAx>
        <c:axId val="6659410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nl-NL"/>
          </a:p>
        </c:txPr>
        <c:crossAx val="665935312"/>
        <c:crosses val="autoZero"/>
        <c:auto val="1"/>
        <c:lblAlgn val="ctr"/>
        <c:lblOffset val="100"/>
        <c:noMultiLvlLbl val="0"/>
      </c:catAx>
      <c:valAx>
        <c:axId val="665935312"/>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t>pH</a:t>
                </a:r>
              </a:p>
            </c:rich>
          </c:tx>
          <c:overlay val="0"/>
          <c:spPr>
            <a:noFill/>
            <a:ln>
              <a:noFill/>
            </a:ln>
            <a:effectLst/>
          </c:spPr>
        </c:title>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crossAx val="665941072"/>
        <c:crosses val="autoZero"/>
        <c:crossBetween val="between"/>
      </c:valAx>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l-NL"/>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nl-NL"/>
              <a:t>Fytoplankton                                             Vegetatie                                                    Macrofauna                                               Vis</a:t>
            </a:r>
          </a:p>
        </c:rich>
      </c:tx>
      <c:layout>
        <c:manualLayout>
          <c:xMode val="edge"/>
          <c:yMode val="edge"/>
          <c:x val="4.3476791428468706E-2"/>
          <c:y val="2.74725274725274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nl-NL"/>
        </a:p>
      </c:txPr>
    </c:title>
    <c:autoTitleDeleted val="0"/>
    <c:plotArea>
      <c:layout>
        <c:manualLayout>
          <c:layoutTarget val="inner"/>
          <c:xMode val="edge"/>
          <c:yMode val="edge"/>
          <c:x val="3.4271537975561275E-2"/>
          <c:y val="0.11321733821733822"/>
          <c:w val="0.94746362184179012"/>
          <c:h val="0.71869670137386676"/>
        </c:manualLayout>
      </c:layout>
      <c:barChart>
        <c:barDir val="col"/>
        <c:grouping val="stacked"/>
        <c:varyColors val="0"/>
        <c:ser>
          <c:idx val="4"/>
          <c:order val="4"/>
          <c:tx>
            <c:strRef>
              <c:f>Sheet!$T$8</c:f>
              <c:strCache>
                <c:ptCount val="1"/>
                <c:pt idx="0">
                  <c:v>Ontoereikend</c:v>
                </c:pt>
              </c:strCache>
            </c:strRef>
          </c:tx>
          <c:spPr>
            <a:solidFill>
              <a:srgbClr val="FF0000"/>
            </a:solidFill>
            <a:ln>
              <a:noFill/>
            </a:ln>
            <a:effectLst/>
          </c:spPr>
          <c:invertIfNegative val="0"/>
          <c:cat>
            <c:numRef>
              <c:f>Sheet!$U$3:$CL$3</c:f>
              <c:numCache>
                <c:formatCode>General</c:formatCode>
                <c:ptCount val="70"/>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4">
                  <c:v>2027</c:v>
                </c:pt>
                <c:pt idx="15">
                  <c:v>2033</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2">
                  <c:v>2027</c:v>
                </c:pt>
                <c:pt idx="33">
                  <c:v>2033</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50">
                  <c:v>2027</c:v>
                </c:pt>
                <c:pt idx="51">
                  <c:v>2033</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pt idx="68">
                  <c:v>2027</c:v>
                </c:pt>
                <c:pt idx="69">
                  <c:v>2033</c:v>
                </c:pt>
              </c:numCache>
            </c:numRef>
          </c:cat>
          <c:val>
            <c:numRef>
              <c:f>Sheet!$U$8:$CL$8</c:f>
              <c:numCache>
                <c:formatCode>General</c:formatCode>
                <c:ptCount val="70"/>
                <c:pt idx="0">
                  <c:v>0.19999999999999998</c:v>
                </c:pt>
                <c:pt idx="1">
                  <c:v>0.19999999999999998</c:v>
                </c:pt>
                <c:pt idx="2">
                  <c:v>0.19999999999999998</c:v>
                </c:pt>
                <c:pt idx="3">
                  <c:v>0.19999999999999998</c:v>
                </c:pt>
                <c:pt idx="4">
                  <c:v>0.19999999999999998</c:v>
                </c:pt>
                <c:pt idx="5">
                  <c:v>0.19999999999999998</c:v>
                </c:pt>
                <c:pt idx="6">
                  <c:v>0.19999999999999998</c:v>
                </c:pt>
                <c:pt idx="7">
                  <c:v>0.19999999999999998</c:v>
                </c:pt>
                <c:pt idx="8">
                  <c:v>0.19999999999999998</c:v>
                </c:pt>
                <c:pt idx="9">
                  <c:v>0.19999999999999998</c:v>
                </c:pt>
                <c:pt idx="10">
                  <c:v>0.19999999999999998</c:v>
                </c:pt>
                <c:pt idx="11">
                  <c:v>0.19999999999999998</c:v>
                </c:pt>
                <c:pt idx="12">
                  <c:v>0.19999999999999998</c:v>
                </c:pt>
                <c:pt idx="13">
                  <c:v>0.19999999999999998</c:v>
                </c:pt>
                <c:pt idx="14">
                  <c:v>0.19999999999999998</c:v>
                </c:pt>
                <c:pt idx="15">
                  <c:v>0.19999999999999998</c:v>
                </c:pt>
                <c:pt idx="18" formatCode="0.00">
                  <c:v>0.19999999999999998</c:v>
                </c:pt>
                <c:pt idx="19" formatCode="0.00">
                  <c:v>0.19999999999999998</c:v>
                </c:pt>
                <c:pt idx="20" formatCode="0.00">
                  <c:v>0.19999999999999998</c:v>
                </c:pt>
                <c:pt idx="21" formatCode="0.00">
                  <c:v>0.19999999999999998</c:v>
                </c:pt>
                <c:pt idx="22" formatCode="0.00">
                  <c:v>0.19999999999999998</c:v>
                </c:pt>
                <c:pt idx="23" formatCode="0.00">
                  <c:v>0.19999999999999998</c:v>
                </c:pt>
                <c:pt idx="24" formatCode="0.00">
                  <c:v>0.19999999999999998</c:v>
                </c:pt>
                <c:pt idx="25" formatCode="0.00">
                  <c:v>0.19999999999999998</c:v>
                </c:pt>
                <c:pt idx="26" formatCode="0.00">
                  <c:v>0.19999999999999998</c:v>
                </c:pt>
                <c:pt idx="27" formatCode="0.00">
                  <c:v>0.19999999999999998</c:v>
                </c:pt>
                <c:pt idx="28" formatCode="0.00">
                  <c:v>0.19999999999999998</c:v>
                </c:pt>
                <c:pt idx="29" formatCode="0.00">
                  <c:v>0.19999999999999998</c:v>
                </c:pt>
                <c:pt idx="30" formatCode="0.00">
                  <c:v>0.19999999999999998</c:v>
                </c:pt>
                <c:pt idx="31" formatCode="0.00">
                  <c:v>0.19999999999999998</c:v>
                </c:pt>
                <c:pt idx="32" formatCode="0.00">
                  <c:v>0.19999999999999998</c:v>
                </c:pt>
                <c:pt idx="33" formatCode="0.00">
                  <c:v>0.19999999999999998</c:v>
                </c:pt>
                <c:pt idx="36">
                  <c:v>0.16666666666666666</c:v>
                </c:pt>
                <c:pt idx="37">
                  <c:v>0.16666666666666666</c:v>
                </c:pt>
                <c:pt idx="38">
                  <c:v>0.16666666666666666</c:v>
                </c:pt>
                <c:pt idx="39">
                  <c:v>0.16666666666666666</c:v>
                </c:pt>
                <c:pt idx="40">
                  <c:v>0.16666666666666666</c:v>
                </c:pt>
                <c:pt idx="41">
                  <c:v>0.16666666666666666</c:v>
                </c:pt>
                <c:pt idx="42">
                  <c:v>0.16666666666666666</c:v>
                </c:pt>
                <c:pt idx="43">
                  <c:v>0.16666666666666666</c:v>
                </c:pt>
                <c:pt idx="44">
                  <c:v>0.16666666666666666</c:v>
                </c:pt>
                <c:pt idx="45">
                  <c:v>0.16666666666666666</c:v>
                </c:pt>
                <c:pt idx="46">
                  <c:v>0.16666666666666666</c:v>
                </c:pt>
                <c:pt idx="47">
                  <c:v>0.16666666666666666</c:v>
                </c:pt>
                <c:pt idx="48">
                  <c:v>0.16666666666666666</c:v>
                </c:pt>
                <c:pt idx="49">
                  <c:v>0.16666666666666666</c:v>
                </c:pt>
                <c:pt idx="50">
                  <c:v>0.16666666666666666</c:v>
                </c:pt>
                <c:pt idx="51">
                  <c:v>0.16666666666666666</c:v>
                </c:pt>
                <c:pt idx="54">
                  <c:v>0.16666666666666666</c:v>
                </c:pt>
                <c:pt idx="55">
                  <c:v>0.16666666666666666</c:v>
                </c:pt>
                <c:pt idx="56">
                  <c:v>0.16666666666666666</c:v>
                </c:pt>
                <c:pt idx="57">
                  <c:v>0.16666666666666666</c:v>
                </c:pt>
                <c:pt idx="58">
                  <c:v>0.16666666666666666</c:v>
                </c:pt>
                <c:pt idx="59">
                  <c:v>0.16666666666666666</c:v>
                </c:pt>
                <c:pt idx="60">
                  <c:v>0.16666666666666666</c:v>
                </c:pt>
                <c:pt idx="61">
                  <c:v>0.16666666666666666</c:v>
                </c:pt>
                <c:pt idx="62">
                  <c:v>0.16666666666666666</c:v>
                </c:pt>
                <c:pt idx="63">
                  <c:v>0.16666666666666666</c:v>
                </c:pt>
                <c:pt idx="64">
                  <c:v>0.16666666666666666</c:v>
                </c:pt>
                <c:pt idx="65">
                  <c:v>0.16666666666666666</c:v>
                </c:pt>
                <c:pt idx="66">
                  <c:v>0.16666666666666666</c:v>
                </c:pt>
                <c:pt idx="67">
                  <c:v>0.16666666666666666</c:v>
                </c:pt>
                <c:pt idx="68">
                  <c:v>0.16666666666666666</c:v>
                </c:pt>
                <c:pt idx="69">
                  <c:v>0.16666666666666666</c:v>
                </c:pt>
              </c:numCache>
            </c:numRef>
          </c:val>
          <c:extLst>
            <c:ext xmlns:c16="http://schemas.microsoft.com/office/drawing/2014/chart" uri="{C3380CC4-5D6E-409C-BE32-E72D297353CC}">
              <c16:uniqueId val="{00000004-51D6-4A4C-98E2-24C20635B529}"/>
            </c:ext>
          </c:extLst>
        </c:ser>
        <c:ser>
          <c:idx val="5"/>
          <c:order val="5"/>
          <c:tx>
            <c:strRef>
              <c:f>Sheet!$T$9</c:f>
              <c:strCache>
                <c:ptCount val="1"/>
                <c:pt idx="0">
                  <c:v>Matig</c:v>
                </c:pt>
              </c:strCache>
            </c:strRef>
          </c:tx>
          <c:spPr>
            <a:solidFill>
              <a:srgbClr val="FFC000"/>
            </a:solidFill>
            <a:ln>
              <a:noFill/>
            </a:ln>
            <a:effectLst/>
          </c:spPr>
          <c:invertIfNegative val="0"/>
          <c:cat>
            <c:numRef>
              <c:f>Sheet!$U$3:$CL$3</c:f>
              <c:numCache>
                <c:formatCode>General</c:formatCode>
                <c:ptCount val="70"/>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4">
                  <c:v>2027</c:v>
                </c:pt>
                <c:pt idx="15">
                  <c:v>2033</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2">
                  <c:v>2027</c:v>
                </c:pt>
                <c:pt idx="33">
                  <c:v>2033</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50">
                  <c:v>2027</c:v>
                </c:pt>
                <c:pt idx="51">
                  <c:v>2033</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pt idx="68">
                  <c:v>2027</c:v>
                </c:pt>
                <c:pt idx="69">
                  <c:v>2033</c:v>
                </c:pt>
              </c:numCache>
            </c:numRef>
          </c:cat>
          <c:val>
            <c:numRef>
              <c:f>Sheet!$U$9:$CL$9</c:f>
              <c:numCache>
                <c:formatCode>General</c:formatCode>
                <c:ptCount val="70"/>
                <c:pt idx="0">
                  <c:v>0.19999999999999998</c:v>
                </c:pt>
                <c:pt idx="1">
                  <c:v>0.19999999999999998</c:v>
                </c:pt>
                <c:pt idx="2">
                  <c:v>0.19999999999999998</c:v>
                </c:pt>
                <c:pt idx="3">
                  <c:v>0.19999999999999998</c:v>
                </c:pt>
                <c:pt idx="4">
                  <c:v>0.19999999999999998</c:v>
                </c:pt>
                <c:pt idx="5">
                  <c:v>0.19999999999999998</c:v>
                </c:pt>
                <c:pt idx="6">
                  <c:v>0.19999999999999998</c:v>
                </c:pt>
                <c:pt idx="7">
                  <c:v>0.19999999999999998</c:v>
                </c:pt>
                <c:pt idx="8">
                  <c:v>0.19999999999999998</c:v>
                </c:pt>
                <c:pt idx="9">
                  <c:v>0.19999999999999998</c:v>
                </c:pt>
                <c:pt idx="10">
                  <c:v>0.19999999999999998</c:v>
                </c:pt>
                <c:pt idx="11">
                  <c:v>0.19999999999999998</c:v>
                </c:pt>
                <c:pt idx="12">
                  <c:v>0.19999999999999998</c:v>
                </c:pt>
                <c:pt idx="13">
                  <c:v>0.19999999999999998</c:v>
                </c:pt>
                <c:pt idx="14">
                  <c:v>0.19999999999999998</c:v>
                </c:pt>
                <c:pt idx="15">
                  <c:v>0.19999999999999998</c:v>
                </c:pt>
                <c:pt idx="18" formatCode="0.00">
                  <c:v>0.19999999999999998</c:v>
                </c:pt>
                <c:pt idx="19" formatCode="0.00">
                  <c:v>0.19999999999999998</c:v>
                </c:pt>
                <c:pt idx="20" formatCode="0.00">
                  <c:v>0.19999999999999998</c:v>
                </c:pt>
                <c:pt idx="21" formatCode="0.00">
                  <c:v>0.19999999999999998</c:v>
                </c:pt>
                <c:pt idx="22" formatCode="0.00">
                  <c:v>0.19999999999999998</c:v>
                </c:pt>
                <c:pt idx="23" formatCode="0.00">
                  <c:v>0.19999999999999998</c:v>
                </c:pt>
                <c:pt idx="24" formatCode="0.00">
                  <c:v>0.19999999999999998</c:v>
                </c:pt>
                <c:pt idx="25" formatCode="0.00">
                  <c:v>0.19999999999999998</c:v>
                </c:pt>
                <c:pt idx="26" formatCode="0.00">
                  <c:v>0.19999999999999998</c:v>
                </c:pt>
                <c:pt idx="27" formatCode="0.00">
                  <c:v>0.19999999999999998</c:v>
                </c:pt>
                <c:pt idx="28" formatCode="0.00">
                  <c:v>0.19999999999999998</c:v>
                </c:pt>
                <c:pt idx="29" formatCode="0.00">
                  <c:v>0.19999999999999998</c:v>
                </c:pt>
                <c:pt idx="30" formatCode="0.00">
                  <c:v>0.19999999999999998</c:v>
                </c:pt>
                <c:pt idx="31" formatCode="0.00">
                  <c:v>0.19999999999999998</c:v>
                </c:pt>
                <c:pt idx="32" formatCode="0.00">
                  <c:v>0.19999999999999998</c:v>
                </c:pt>
                <c:pt idx="33" formatCode="0.00">
                  <c:v>0.19999999999999998</c:v>
                </c:pt>
                <c:pt idx="36">
                  <c:v>0.16666666666666666</c:v>
                </c:pt>
                <c:pt idx="37">
                  <c:v>0.16666666666666666</c:v>
                </c:pt>
                <c:pt idx="38">
                  <c:v>0.16666666666666666</c:v>
                </c:pt>
                <c:pt idx="39">
                  <c:v>0.16666666666666666</c:v>
                </c:pt>
                <c:pt idx="40">
                  <c:v>0.16666666666666666</c:v>
                </c:pt>
                <c:pt idx="41">
                  <c:v>0.16666666666666666</c:v>
                </c:pt>
                <c:pt idx="42">
                  <c:v>0.16666666666666666</c:v>
                </c:pt>
                <c:pt idx="43">
                  <c:v>0.16666666666666666</c:v>
                </c:pt>
                <c:pt idx="44">
                  <c:v>0.16666666666666666</c:v>
                </c:pt>
                <c:pt idx="45">
                  <c:v>0.16666666666666666</c:v>
                </c:pt>
                <c:pt idx="46">
                  <c:v>0.16666666666666666</c:v>
                </c:pt>
                <c:pt idx="47">
                  <c:v>0.16666666666666666</c:v>
                </c:pt>
                <c:pt idx="48">
                  <c:v>0.16666666666666666</c:v>
                </c:pt>
                <c:pt idx="49">
                  <c:v>0.16666666666666666</c:v>
                </c:pt>
                <c:pt idx="50">
                  <c:v>0.16666666666666666</c:v>
                </c:pt>
                <c:pt idx="51">
                  <c:v>0.16666666666666666</c:v>
                </c:pt>
                <c:pt idx="54">
                  <c:v>0.16666666666666666</c:v>
                </c:pt>
                <c:pt idx="55">
                  <c:v>0.16666666666666666</c:v>
                </c:pt>
                <c:pt idx="56">
                  <c:v>0.16666666666666666</c:v>
                </c:pt>
                <c:pt idx="57">
                  <c:v>0.16666666666666666</c:v>
                </c:pt>
                <c:pt idx="58">
                  <c:v>0.16666666666666666</c:v>
                </c:pt>
                <c:pt idx="59">
                  <c:v>0.16666666666666666</c:v>
                </c:pt>
                <c:pt idx="60">
                  <c:v>0.16666666666666666</c:v>
                </c:pt>
                <c:pt idx="61">
                  <c:v>0.16666666666666666</c:v>
                </c:pt>
                <c:pt idx="62">
                  <c:v>0.16666666666666666</c:v>
                </c:pt>
                <c:pt idx="63">
                  <c:v>0.16666666666666666</c:v>
                </c:pt>
                <c:pt idx="64">
                  <c:v>0.16666666666666666</c:v>
                </c:pt>
                <c:pt idx="65">
                  <c:v>0.16666666666666666</c:v>
                </c:pt>
                <c:pt idx="66">
                  <c:v>0.16666666666666666</c:v>
                </c:pt>
                <c:pt idx="67">
                  <c:v>0.16666666666666666</c:v>
                </c:pt>
                <c:pt idx="68">
                  <c:v>0.16666666666666666</c:v>
                </c:pt>
                <c:pt idx="69">
                  <c:v>0.16666666666666666</c:v>
                </c:pt>
              </c:numCache>
            </c:numRef>
          </c:val>
          <c:extLst>
            <c:ext xmlns:c16="http://schemas.microsoft.com/office/drawing/2014/chart" uri="{C3380CC4-5D6E-409C-BE32-E72D297353CC}">
              <c16:uniqueId val="{00000005-51D6-4A4C-98E2-24C20635B529}"/>
            </c:ext>
          </c:extLst>
        </c:ser>
        <c:ser>
          <c:idx val="6"/>
          <c:order val="6"/>
          <c:tx>
            <c:strRef>
              <c:f>Sheet!$T$10</c:f>
              <c:strCache>
                <c:ptCount val="1"/>
                <c:pt idx="0">
                  <c:v>Goed</c:v>
                </c:pt>
              </c:strCache>
            </c:strRef>
          </c:tx>
          <c:spPr>
            <a:solidFill>
              <a:srgbClr val="FFFF00"/>
            </a:solidFill>
            <a:ln>
              <a:noFill/>
            </a:ln>
            <a:effectLst/>
          </c:spPr>
          <c:invertIfNegative val="0"/>
          <c:cat>
            <c:numRef>
              <c:f>Sheet!$U$3:$CL$3</c:f>
              <c:numCache>
                <c:formatCode>General</c:formatCode>
                <c:ptCount val="70"/>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4">
                  <c:v>2027</c:v>
                </c:pt>
                <c:pt idx="15">
                  <c:v>2033</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2">
                  <c:v>2027</c:v>
                </c:pt>
                <c:pt idx="33">
                  <c:v>2033</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50">
                  <c:v>2027</c:v>
                </c:pt>
                <c:pt idx="51">
                  <c:v>2033</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pt idx="68">
                  <c:v>2027</c:v>
                </c:pt>
                <c:pt idx="69">
                  <c:v>2033</c:v>
                </c:pt>
              </c:numCache>
            </c:numRef>
          </c:cat>
          <c:val>
            <c:numRef>
              <c:f>Sheet!$U$10:$CL$10</c:f>
              <c:numCache>
                <c:formatCode>General</c:formatCode>
                <c:ptCount val="70"/>
                <c:pt idx="0">
                  <c:v>0.19999999999999998</c:v>
                </c:pt>
                <c:pt idx="1">
                  <c:v>0.19999999999999998</c:v>
                </c:pt>
                <c:pt idx="2">
                  <c:v>0.19999999999999998</c:v>
                </c:pt>
                <c:pt idx="3">
                  <c:v>0.19999999999999998</c:v>
                </c:pt>
                <c:pt idx="4">
                  <c:v>0.19999999999999998</c:v>
                </c:pt>
                <c:pt idx="5">
                  <c:v>0.19999999999999998</c:v>
                </c:pt>
                <c:pt idx="6">
                  <c:v>0.19999999999999998</c:v>
                </c:pt>
                <c:pt idx="7">
                  <c:v>0.19999999999999998</c:v>
                </c:pt>
                <c:pt idx="8">
                  <c:v>0.19999999999999998</c:v>
                </c:pt>
                <c:pt idx="9">
                  <c:v>0.19999999999999998</c:v>
                </c:pt>
                <c:pt idx="10">
                  <c:v>0.19999999999999998</c:v>
                </c:pt>
                <c:pt idx="11">
                  <c:v>0.19999999999999998</c:v>
                </c:pt>
                <c:pt idx="12">
                  <c:v>0.19999999999999998</c:v>
                </c:pt>
                <c:pt idx="13">
                  <c:v>0.19999999999999998</c:v>
                </c:pt>
                <c:pt idx="14">
                  <c:v>0.19999999999999998</c:v>
                </c:pt>
                <c:pt idx="15">
                  <c:v>0.19999999999999998</c:v>
                </c:pt>
                <c:pt idx="18" formatCode="0.00">
                  <c:v>0.19999999999999998</c:v>
                </c:pt>
                <c:pt idx="19" formatCode="0.00">
                  <c:v>0.19999999999999998</c:v>
                </c:pt>
                <c:pt idx="20" formatCode="0.00">
                  <c:v>0.19999999999999998</c:v>
                </c:pt>
                <c:pt idx="21" formatCode="0.00">
                  <c:v>0.19999999999999998</c:v>
                </c:pt>
                <c:pt idx="22" formatCode="0.00">
                  <c:v>0.19999999999999998</c:v>
                </c:pt>
                <c:pt idx="23" formatCode="0.00">
                  <c:v>0.19999999999999998</c:v>
                </c:pt>
                <c:pt idx="24" formatCode="0.00">
                  <c:v>0.19999999999999998</c:v>
                </c:pt>
                <c:pt idx="25" formatCode="0.00">
                  <c:v>0.19999999999999998</c:v>
                </c:pt>
                <c:pt idx="26" formatCode="0.00">
                  <c:v>0.19999999999999998</c:v>
                </c:pt>
                <c:pt idx="27" formatCode="0.00">
                  <c:v>0.19999999999999998</c:v>
                </c:pt>
                <c:pt idx="28" formatCode="0.00">
                  <c:v>0.19999999999999998</c:v>
                </c:pt>
                <c:pt idx="29" formatCode="0.00">
                  <c:v>0.19999999999999998</c:v>
                </c:pt>
                <c:pt idx="30" formatCode="0.00">
                  <c:v>0.19999999999999998</c:v>
                </c:pt>
                <c:pt idx="31" formatCode="0.00">
                  <c:v>0.19999999999999998</c:v>
                </c:pt>
                <c:pt idx="32" formatCode="0.00">
                  <c:v>0.19999999999999998</c:v>
                </c:pt>
                <c:pt idx="33" formatCode="0.00">
                  <c:v>0.19999999999999998</c:v>
                </c:pt>
                <c:pt idx="36">
                  <c:v>0.16666666666666666</c:v>
                </c:pt>
                <c:pt idx="37">
                  <c:v>0.16666666666666666</c:v>
                </c:pt>
                <c:pt idx="38">
                  <c:v>0.16666666666666666</c:v>
                </c:pt>
                <c:pt idx="39">
                  <c:v>0.16666666666666666</c:v>
                </c:pt>
                <c:pt idx="40">
                  <c:v>0.16666666666666666</c:v>
                </c:pt>
                <c:pt idx="41">
                  <c:v>0.16666666666666666</c:v>
                </c:pt>
                <c:pt idx="42">
                  <c:v>0.16666666666666666</c:v>
                </c:pt>
                <c:pt idx="43">
                  <c:v>0.16666666666666666</c:v>
                </c:pt>
                <c:pt idx="44">
                  <c:v>0.16666666666666666</c:v>
                </c:pt>
                <c:pt idx="45">
                  <c:v>0.16666666666666666</c:v>
                </c:pt>
                <c:pt idx="46">
                  <c:v>0.16666666666666666</c:v>
                </c:pt>
                <c:pt idx="47">
                  <c:v>0.16666666666666666</c:v>
                </c:pt>
                <c:pt idx="48">
                  <c:v>0.16666666666666666</c:v>
                </c:pt>
                <c:pt idx="49">
                  <c:v>0.16666666666666666</c:v>
                </c:pt>
                <c:pt idx="50">
                  <c:v>0.16666666666666666</c:v>
                </c:pt>
                <c:pt idx="51">
                  <c:v>0.16666666666666666</c:v>
                </c:pt>
                <c:pt idx="54">
                  <c:v>0.16666666666666666</c:v>
                </c:pt>
                <c:pt idx="55">
                  <c:v>0.16666666666666666</c:v>
                </c:pt>
                <c:pt idx="56">
                  <c:v>0.16666666666666666</c:v>
                </c:pt>
                <c:pt idx="57">
                  <c:v>0.16666666666666666</c:v>
                </c:pt>
                <c:pt idx="58">
                  <c:v>0.16666666666666666</c:v>
                </c:pt>
                <c:pt idx="59">
                  <c:v>0.16666666666666666</c:v>
                </c:pt>
                <c:pt idx="60">
                  <c:v>0.16666666666666666</c:v>
                </c:pt>
                <c:pt idx="61">
                  <c:v>0.16666666666666666</c:v>
                </c:pt>
                <c:pt idx="62">
                  <c:v>0.16666666666666666</c:v>
                </c:pt>
                <c:pt idx="63">
                  <c:v>0.16666666666666666</c:v>
                </c:pt>
                <c:pt idx="64">
                  <c:v>0.16666666666666666</c:v>
                </c:pt>
                <c:pt idx="65">
                  <c:v>0.16666666666666666</c:v>
                </c:pt>
                <c:pt idx="66">
                  <c:v>0.16666666666666666</c:v>
                </c:pt>
                <c:pt idx="67">
                  <c:v>0.16666666666666666</c:v>
                </c:pt>
                <c:pt idx="68">
                  <c:v>0.16666666666666666</c:v>
                </c:pt>
                <c:pt idx="69">
                  <c:v>0.16666666666666666</c:v>
                </c:pt>
              </c:numCache>
            </c:numRef>
          </c:val>
          <c:extLst>
            <c:ext xmlns:c16="http://schemas.microsoft.com/office/drawing/2014/chart" uri="{C3380CC4-5D6E-409C-BE32-E72D297353CC}">
              <c16:uniqueId val="{00000006-51D6-4A4C-98E2-24C20635B529}"/>
            </c:ext>
          </c:extLst>
        </c:ser>
        <c:ser>
          <c:idx val="7"/>
          <c:order val="7"/>
          <c:tx>
            <c:strRef>
              <c:f>Sheet!$T$11</c:f>
              <c:strCache>
                <c:ptCount val="1"/>
                <c:pt idx="0">
                  <c:v>Referentie</c:v>
                </c:pt>
              </c:strCache>
            </c:strRef>
          </c:tx>
          <c:spPr>
            <a:solidFill>
              <a:srgbClr val="92D050"/>
            </a:solidFill>
            <a:ln>
              <a:noFill/>
            </a:ln>
            <a:effectLst/>
          </c:spPr>
          <c:invertIfNegative val="0"/>
          <c:cat>
            <c:numRef>
              <c:f>Sheet!$U$3:$CL$3</c:f>
              <c:numCache>
                <c:formatCode>General</c:formatCode>
                <c:ptCount val="70"/>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4">
                  <c:v>2027</c:v>
                </c:pt>
                <c:pt idx="15">
                  <c:v>2033</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2">
                  <c:v>2027</c:v>
                </c:pt>
                <c:pt idx="33">
                  <c:v>2033</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50">
                  <c:v>2027</c:v>
                </c:pt>
                <c:pt idx="51">
                  <c:v>2033</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pt idx="68">
                  <c:v>2027</c:v>
                </c:pt>
                <c:pt idx="69">
                  <c:v>2033</c:v>
                </c:pt>
              </c:numCache>
            </c:numRef>
          </c:cat>
          <c:val>
            <c:numRef>
              <c:f>Sheet!$U$11:$CL$11</c:f>
              <c:numCache>
                <c:formatCode>General</c:formatCode>
                <c:ptCount val="70"/>
                <c:pt idx="0">
                  <c:v>0.4</c:v>
                </c:pt>
                <c:pt idx="1">
                  <c:v>0.4</c:v>
                </c:pt>
                <c:pt idx="2">
                  <c:v>0.4</c:v>
                </c:pt>
                <c:pt idx="3">
                  <c:v>0.4</c:v>
                </c:pt>
                <c:pt idx="4">
                  <c:v>0.4</c:v>
                </c:pt>
                <c:pt idx="5">
                  <c:v>0.4</c:v>
                </c:pt>
                <c:pt idx="6">
                  <c:v>0.4</c:v>
                </c:pt>
                <c:pt idx="7">
                  <c:v>0.4</c:v>
                </c:pt>
                <c:pt idx="8">
                  <c:v>0.4</c:v>
                </c:pt>
                <c:pt idx="9">
                  <c:v>0.4</c:v>
                </c:pt>
                <c:pt idx="10">
                  <c:v>0.4</c:v>
                </c:pt>
                <c:pt idx="11">
                  <c:v>0.4</c:v>
                </c:pt>
                <c:pt idx="12">
                  <c:v>0.4</c:v>
                </c:pt>
                <c:pt idx="13">
                  <c:v>0.4</c:v>
                </c:pt>
                <c:pt idx="14">
                  <c:v>0.4</c:v>
                </c:pt>
                <c:pt idx="15">
                  <c:v>0.4</c:v>
                </c:pt>
                <c:pt idx="18" formatCode="0.00">
                  <c:v>0.4</c:v>
                </c:pt>
                <c:pt idx="19" formatCode="0.00">
                  <c:v>0.4</c:v>
                </c:pt>
                <c:pt idx="20" formatCode="0.00">
                  <c:v>0.4</c:v>
                </c:pt>
                <c:pt idx="21" formatCode="0.00">
                  <c:v>0.4</c:v>
                </c:pt>
                <c:pt idx="22" formatCode="0.00">
                  <c:v>0.4</c:v>
                </c:pt>
                <c:pt idx="23" formatCode="0.00">
                  <c:v>0.4</c:v>
                </c:pt>
                <c:pt idx="24" formatCode="0.00">
                  <c:v>0.4</c:v>
                </c:pt>
                <c:pt idx="25" formatCode="0.00">
                  <c:v>0.4</c:v>
                </c:pt>
                <c:pt idx="26" formatCode="0.00">
                  <c:v>0.4</c:v>
                </c:pt>
                <c:pt idx="27" formatCode="0.00">
                  <c:v>0.4</c:v>
                </c:pt>
                <c:pt idx="28" formatCode="0.00">
                  <c:v>0.4</c:v>
                </c:pt>
                <c:pt idx="29" formatCode="0.00">
                  <c:v>0.4</c:v>
                </c:pt>
                <c:pt idx="30" formatCode="0.00">
                  <c:v>0.4</c:v>
                </c:pt>
                <c:pt idx="31" formatCode="0.00">
                  <c:v>0.4</c:v>
                </c:pt>
                <c:pt idx="32" formatCode="0.00">
                  <c:v>0.4</c:v>
                </c:pt>
                <c:pt idx="33" formatCode="0.00">
                  <c:v>0.4</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numCache>
            </c:numRef>
          </c:val>
          <c:extLst>
            <c:ext xmlns:c16="http://schemas.microsoft.com/office/drawing/2014/chart" uri="{C3380CC4-5D6E-409C-BE32-E72D297353CC}">
              <c16:uniqueId val="{00000007-51D6-4A4C-98E2-24C20635B529}"/>
            </c:ext>
          </c:extLst>
        </c:ser>
        <c:dLbls>
          <c:showLegendKey val="0"/>
          <c:showVal val="0"/>
          <c:showCatName val="0"/>
          <c:showSerName val="0"/>
          <c:showPercent val="0"/>
          <c:showBubbleSize val="0"/>
        </c:dLbls>
        <c:gapWidth val="0"/>
        <c:overlap val="100"/>
        <c:axId val="361342032"/>
        <c:axId val="361325712"/>
      </c:barChart>
      <c:lineChart>
        <c:grouping val="standard"/>
        <c:varyColors val="0"/>
        <c:ser>
          <c:idx val="0"/>
          <c:order val="0"/>
          <c:tx>
            <c:strRef>
              <c:f>Sheet!$T$4</c:f>
              <c:strCache>
                <c:ptCount val="1"/>
                <c:pt idx="0">
                  <c:v>Meting</c:v>
                </c:pt>
              </c:strCache>
            </c:strRef>
          </c:tx>
          <c:spPr>
            <a:ln w="28575" cap="rnd">
              <a:noFill/>
              <a:round/>
            </a:ln>
            <a:effectLst/>
          </c:spPr>
          <c:marker>
            <c:symbol val="circle"/>
            <c:size val="8"/>
            <c:spPr>
              <a:solidFill>
                <a:srgbClr val="00B0F0"/>
              </a:solidFill>
              <a:ln w="9525">
                <a:solidFill>
                  <a:schemeClr val="tx1"/>
                </a:solidFill>
              </a:ln>
              <a:effectLst/>
            </c:spPr>
          </c:marker>
          <c:cat>
            <c:numRef>
              <c:f>Sheet!$U$3:$CL$3</c:f>
              <c:numCache>
                <c:formatCode>General</c:formatCode>
                <c:ptCount val="70"/>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4">
                  <c:v>2027</c:v>
                </c:pt>
                <c:pt idx="15">
                  <c:v>2033</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2">
                  <c:v>2027</c:v>
                </c:pt>
                <c:pt idx="33">
                  <c:v>2033</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50">
                  <c:v>2027</c:v>
                </c:pt>
                <c:pt idx="51">
                  <c:v>2033</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pt idx="68">
                  <c:v>2027</c:v>
                </c:pt>
                <c:pt idx="69">
                  <c:v>2033</c:v>
                </c:pt>
              </c:numCache>
            </c:numRef>
          </c:cat>
          <c:val>
            <c:numRef>
              <c:f>Sheet!$U$4:$CL$4</c:f>
              <c:numCache>
                <c:formatCode>General</c:formatCode>
                <c:ptCount val="70"/>
                <c:pt idx="0">
                  <c:v>0</c:v>
                </c:pt>
                <c:pt idx="1">
                  <c:v>0</c:v>
                </c:pt>
                <c:pt idx="2">
                  <c:v>0.78900000000000003</c:v>
                </c:pt>
                <c:pt idx="3">
                  <c:v>0</c:v>
                </c:pt>
                <c:pt idx="4">
                  <c:v>0</c:v>
                </c:pt>
                <c:pt idx="5">
                  <c:v>0.72</c:v>
                </c:pt>
                <c:pt idx="6">
                  <c:v>0</c:v>
                </c:pt>
                <c:pt idx="7">
                  <c:v>0</c:v>
                </c:pt>
                <c:pt idx="8">
                  <c:v>0.92700000000000005</c:v>
                </c:pt>
                <c:pt idx="9">
                  <c:v>0</c:v>
                </c:pt>
                <c:pt idx="10">
                  <c:v>0</c:v>
                </c:pt>
                <c:pt idx="11">
                  <c:v>0.68</c:v>
                </c:pt>
                <c:pt idx="12">
                  <c:v>0</c:v>
                </c:pt>
                <c:pt idx="18" formatCode="0.00">
                  <c:v>0</c:v>
                </c:pt>
                <c:pt idx="19" formatCode="0.00">
                  <c:v>0</c:v>
                </c:pt>
                <c:pt idx="20" formatCode="0.00">
                  <c:v>0.57999999999999996</c:v>
                </c:pt>
                <c:pt idx="21" formatCode="0.00">
                  <c:v>0</c:v>
                </c:pt>
                <c:pt idx="22" formatCode="0.00">
                  <c:v>0</c:v>
                </c:pt>
                <c:pt idx="23" formatCode="0.00">
                  <c:v>0.45300000000000001</c:v>
                </c:pt>
                <c:pt idx="24" formatCode="0.00">
                  <c:v>0</c:v>
                </c:pt>
                <c:pt idx="25" formatCode="0.00">
                  <c:v>0</c:v>
                </c:pt>
                <c:pt idx="26" formatCode="0.00">
                  <c:v>0.432</c:v>
                </c:pt>
                <c:pt idx="27" formatCode="0.00">
                  <c:v>0</c:v>
                </c:pt>
                <c:pt idx="28" formatCode="0.00">
                  <c:v>0</c:v>
                </c:pt>
                <c:pt idx="29" formatCode="0.00">
                  <c:v>0.43</c:v>
                </c:pt>
                <c:pt idx="30" formatCode="0.00">
                  <c:v>0</c:v>
                </c:pt>
                <c:pt idx="36">
                  <c:v>0</c:v>
                </c:pt>
                <c:pt idx="37">
                  <c:v>0</c:v>
                </c:pt>
                <c:pt idx="38">
                  <c:v>0.37749999999999995</c:v>
                </c:pt>
                <c:pt idx="39">
                  <c:v>0</c:v>
                </c:pt>
                <c:pt idx="40">
                  <c:v>0</c:v>
                </c:pt>
                <c:pt idx="41">
                  <c:v>0.48350000000000004</c:v>
                </c:pt>
                <c:pt idx="42">
                  <c:v>0</c:v>
                </c:pt>
                <c:pt idx="43">
                  <c:v>0</c:v>
                </c:pt>
                <c:pt idx="44">
                  <c:v>0.47249999999999998</c:v>
                </c:pt>
                <c:pt idx="45">
                  <c:v>0</c:v>
                </c:pt>
                <c:pt idx="46">
                  <c:v>0</c:v>
                </c:pt>
                <c:pt idx="47">
                  <c:v>0.44800000000000006</c:v>
                </c:pt>
                <c:pt idx="48">
                  <c:v>0</c:v>
                </c:pt>
                <c:pt idx="54">
                  <c:v>0</c:v>
                </c:pt>
                <c:pt idx="55">
                  <c:v>0.44400000000000001</c:v>
                </c:pt>
                <c:pt idx="56">
                  <c:v>0</c:v>
                </c:pt>
                <c:pt idx="57">
                  <c:v>0</c:v>
                </c:pt>
                <c:pt idx="58">
                  <c:v>0</c:v>
                </c:pt>
                <c:pt idx="59">
                  <c:v>0</c:v>
                </c:pt>
                <c:pt idx="60">
                  <c:v>0</c:v>
                </c:pt>
                <c:pt idx="61">
                  <c:v>0.627</c:v>
                </c:pt>
                <c:pt idx="62">
                  <c:v>0</c:v>
                </c:pt>
                <c:pt idx="63">
                  <c:v>0</c:v>
                </c:pt>
                <c:pt idx="64">
                  <c:v>0</c:v>
                </c:pt>
                <c:pt idx="65">
                  <c:v>0</c:v>
                </c:pt>
                <c:pt idx="66">
                  <c:v>0</c:v>
                </c:pt>
              </c:numCache>
            </c:numRef>
          </c:val>
          <c:smooth val="0"/>
          <c:extLst>
            <c:ext xmlns:c16="http://schemas.microsoft.com/office/drawing/2014/chart" uri="{C3380CC4-5D6E-409C-BE32-E72D297353CC}">
              <c16:uniqueId val="{00000000-51D6-4A4C-98E2-24C20635B529}"/>
            </c:ext>
          </c:extLst>
        </c:ser>
        <c:ser>
          <c:idx val="1"/>
          <c:order val="1"/>
          <c:tx>
            <c:strRef>
              <c:f>Sheet!$T$5</c:f>
              <c:strCache>
                <c:ptCount val="1"/>
                <c:pt idx="0">
                  <c:v>(Verwachting) toestand</c:v>
                </c:pt>
              </c:strCache>
            </c:strRef>
          </c:tx>
          <c:spPr>
            <a:ln w="28575" cap="rnd">
              <a:noFill/>
              <a:round/>
            </a:ln>
            <a:effectLst/>
          </c:spPr>
          <c:marker>
            <c:symbol val="circle"/>
            <c:size val="8"/>
            <c:spPr>
              <a:solidFill>
                <a:schemeClr val="bg1"/>
              </a:solidFill>
              <a:ln w="9525">
                <a:solidFill>
                  <a:schemeClr val="tx1"/>
                </a:solidFill>
              </a:ln>
              <a:effectLst/>
            </c:spPr>
          </c:marker>
          <c:cat>
            <c:numRef>
              <c:f>Sheet!$U$3:$CL$3</c:f>
              <c:numCache>
                <c:formatCode>General</c:formatCode>
                <c:ptCount val="70"/>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4">
                  <c:v>2027</c:v>
                </c:pt>
                <c:pt idx="15">
                  <c:v>2033</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2">
                  <c:v>2027</c:v>
                </c:pt>
                <c:pt idx="33">
                  <c:v>2033</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50">
                  <c:v>2027</c:v>
                </c:pt>
                <c:pt idx="51">
                  <c:v>2033</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pt idx="68">
                  <c:v>2027</c:v>
                </c:pt>
                <c:pt idx="69">
                  <c:v>2033</c:v>
                </c:pt>
              </c:numCache>
            </c:numRef>
          </c:cat>
          <c:val>
            <c:numRef>
              <c:f>Sheet!$U$5:$CL$5</c:f>
              <c:numCache>
                <c:formatCode>General</c:formatCode>
                <c:ptCount val="70"/>
                <c:pt idx="6">
                  <c:v>0.75449999999999995</c:v>
                </c:pt>
                <c:pt idx="12">
                  <c:v>0.80349999999999999</c:v>
                </c:pt>
                <c:pt idx="15">
                  <c:v>0.75</c:v>
                </c:pt>
                <c:pt idx="24">
                  <c:v>0.51649999999999996</c:v>
                </c:pt>
                <c:pt idx="30">
                  <c:v>0.43099999999999999</c:v>
                </c:pt>
                <c:pt idx="33">
                  <c:v>0.57000000000000006</c:v>
                </c:pt>
                <c:pt idx="42">
                  <c:v>0.43049999999999999</c:v>
                </c:pt>
                <c:pt idx="48">
                  <c:v>0.46050000000000002</c:v>
                </c:pt>
                <c:pt idx="51">
                  <c:v>0.45</c:v>
                </c:pt>
                <c:pt idx="60">
                  <c:v>0.44400000000000001</c:v>
                </c:pt>
                <c:pt idx="66">
                  <c:v>0</c:v>
                </c:pt>
                <c:pt idx="69">
                  <c:v>0.49</c:v>
                </c:pt>
              </c:numCache>
            </c:numRef>
          </c:val>
          <c:smooth val="0"/>
          <c:extLst>
            <c:ext xmlns:c16="http://schemas.microsoft.com/office/drawing/2014/chart" uri="{C3380CC4-5D6E-409C-BE32-E72D297353CC}">
              <c16:uniqueId val="{00000001-51D6-4A4C-98E2-24C20635B529}"/>
            </c:ext>
          </c:extLst>
        </c:ser>
        <c:ser>
          <c:idx val="2"/>
          <c:order val="2"/>
          <c:tx>
            <c:strRef>
              <c:f>Sheet!$T$6</c:f>
              <c:strCache>
                <c:ptCount val="1"/>
                <c:pt idx="0">
                  <c:v>KRW-Verkenner</c:v>
                </c:pt>
              </c:strCache>
            </c:strRef>
          </c:tx>
          <c:spPr>
            <a:ln w="28575" cap="rnd">
              <a:noFill/>
              <a:round/>
            </a:ln>
            <a:effectLst/>
          </c:spPr>
          <c:marker>
            <c:symbol val="diamond"/>
            <c:size val="8"/>
            <c:spPr>
              <a:solidFill>
                <a:srgbClr val="FF0000"/>
              </a:solidFill>
              <a:ln w="9525">
                <a:solidFill>
                  <a:schemeClr val="tx1"/>
                </a:solidFill>
              </a:ln>
              <a:effectLst/>
            </c:spPr>
          </c:marker>
          <c:cat>
            <c:numRef>
              <c:f>Sheet!$U$3:$CL$3</c:f>
              <c:numCache>
                <c:formatCode>General</c:formatCode>
                <c:ptCount val="70"/>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4">
                  <c:v>2027</c:v>
                </c:pt>
                <c:pt idx="15">
                  <c:v>2033</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2">
                  <c:v>2027</c:v>
                </c:pt>
                <c:pt idx="33">
                  <c:v>2033</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50">
                  <c:v>2027</c:v>
                </c:pt>
                <c:pt idx="51">
                  <c:v>2033</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pt idx="68">
                  <c:v>2027</c:v>
                </c:pt>
                <c:pt idx="69">
                  <c:v>2033</c:v>
                </c:pt>
              </c:numCache>
            </c:numRef>
          </c:cat>
          <c:val>
            <c:numRef>
              <c:f>Sheet!$U$6:$CK$6</c:f>
              <c:numCache>
                <c:formatCode>General</c:formatCode>
                <c:ptCount val="69"/>
                <c:pt idx="10">
                  <c:v>0.83</c:v>
                </c:pt>
                <c:pt idx="14">
                  <c:v>0.83</c:v>
                </c:pt>
                <c:pt idx="28">
                  <c:v>0.48</c:v>
                </c:pt>
                <c:pt idx="32">
                  <c:v>0.55000000000000004</c:v>
                </c:pt>
                <c:pt idx="46">
                  <c:v>0.48</c:v>
                </c:pt>
                <c:pt idx="50">
                  <c:v>0.48</c:v>
                </c:pt>
                <c:pt idx="64">
                  <c:v>0.63</c:v>
                </c:pt>
                <c:pt idx="68">
                  <c:v>0.63</c:v>
                </c:pt>
              </c:numCache>
            </c:numRef>
          </c:val>
          <c:smooth val="0"/>
          <c:extLst>
            <c:ext xmlns:c16="http://schemas.microsoft.com/office/drawing/2014/chart" uri="{C3380CC4-5D6E-409C-BE32-E72D297353CC}">
              <c16:uniqueId val="{00000002-51D6-4A4C-98E2-24C20635B529}"/>
            </c:ext>
          </c:extLst>
        </c:ser>
        <c:ser>
          <c:idx val="3"/>
          <c:order val="3"/>
          <c:tx>
            <c:strRef>
              <c:f>Sheet!$T$7</c:f>
              <c:strCache>
                <c:ptCount val="1"/>
                <c:pt idx="0">
                  <c:v>Voorstel GEP4</c:v>
                </c:pt>
              </c:strCache>
            </c:strRef>
          </c:tx>
          <c:spPr>
            <a:ln w="28575" cap="rnd">
              <a:noFill/>
              <a:round/>
            </a:ln>
            <a:effectLst/>
          </c:spPr>
          <c:marker>
            <c:symbol val="dash"/>
            <c:size val="16"/>
            <c:spPr>
              <a:solidFill>
                <a:srgbClr val="FF0000"/>
              </a:solidFill>
              <a:ln w="9525">
                <a:solidFill>
                  <a:schemeClr val="tx1"/>
                </a:solidFill>
              </a:ln>
              <a:effectLst/>
            </c:spPr>
          </c:marker>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Sheet!$U$3:$CL$3</c:f>
              <c:numCache>
                <c:formatCode>General</c:formatCode>
                <c:ptCount val="70"/>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4">
                  <c:v>2027</c:v>
                </c:pt>
                <c:pt idx="15">
                  <c:v>2033</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2">
                  <c:v>2027</c:v>
                </c:pt>
                <c:pt idx="33">
                  <c:v>2033</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50">
                  <c:v>2027</c:v>
                </c:pt>
                <c:pt idx="51">
                  <c:v>2033</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pt idx="68">
                  <c:v>2027</c:v>
                </c:pt>
                <c:pt idx="69">
                  <c:v>2033</c:v>
                </c:pt>
              </c:numCache>
            </c:numRef>
          </c:cat>
          <c:val>
            <c:numRef>
              <c:f>Sheet!$U$7:$CL$7</c:f>
              <c:numCache>
                <c:formatCode>General</c:formatCode>
                <c:ptCount val="70"/>
                <c:pt idx="15">
                  <c:v>0.6</c:v>
                </c:pt>
                <c:pt idx="33">
                  <c:v>0.54</c:v>
                </c:pt>
                <c:pt idx="51">
                  <c:v>0.42</c:v>
                </c:pt>
                <c:pt idx="69">
                  <c:v>0.5</c:v>
                </c:pt>
              </c:numCache>
            </c:numRef>
          </c:val>
          <c:smooth val="0"/>
          <c:extLst>
            <c:ext xmlns:c16="http://schemas.microsoft.com/office/drawing/2014/chart" uri="{C3380CC4-5D6E-409C-BE32-E72D297353CC}">
              <c16:uniqueId val="{00000003-51D6-4A4C-98E2-24C20635B529}"/>
            </c:ext>
          </c:extLst>
        </c:ser>
        <c:dLbls>
          <c:showLegendKey val="0"/>
          <c:showVal val="0"/>
          <c:showCatName val="0"/>
          <c:showSerName val="0"/>
          <c:showPercent val="0"/>
          <c:showBubbleSize val="0"/>
        </c:dLbls>
        <c:marker val="1"/>
        <c:smooth val="0"/>
        <c:axId val="361342032"/>
        <c:axId val="361325712"/>
      </c:lineChart>
      <c:catAx>
        <c:axId val="36134203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361325712"/>
        <c:crosses val="autoZero"/>
        <c:auto val="0"/>
        <c:lblAlgn val="ctr"/>
        <c:lblOffset val="100"/>
        <c:noMultiLvlLbl val="0"/>
      </c:catAx>
      <c:valAx>
        <c:axId val="361325712"/>
        <c:scaling>
          <c:orientation val="minMax"/>
          <c:max val="1.0009999999999999"/>
          <c:min val="1.0000000000000002E-3"/>
        </c:scaling>
        <c:delete val="0"/>
        <c:axPos val="l"/>
        <c:majorGridlines>
          <c:spPr>
            <a:ln w="9525" cap="flat" cmpd="sng" algn="ctr">
              <a:noFill/>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361342032"/>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Stikstof</a:t>
            </a:r>
          </a:p>
        </c:rich>
      </c:tx>
      <c:overlay val="0"/>
    </c:title>
    <c:autoTitleDeleted val="0"/>
    <c:plotArea>
      <c:layout>
        <c:manualLayout>
          <c:layoutTarget val="inner"/>
          <c:xMode val="edge"/>
          <c:yMode val="edge"/>
          <c:x val="8.1383887352675058E-2"/>
          <c:y val="8.2309224433976549E-2"/>
          <c:w val="0.82300371662994809"/>
          <c:h val="0.86752138963738412"/>
        </c:manualLayout>
      </c:layout>
      <c:barChart>
        <c:barDir val="col"/>
        <c:grouping val="percentStacked"/>
        <c:varyColors val="0"/>
        <c:ser>
          <c:idx val="0"/>
          <c:order val="0"/>
          <c:tx>
            <c:strRef>
              <c:f>Sheet!$U$85</c:f>
              <c:strCache>
                <c:ptCount val="1"/>
                <c:pt idx="0">
                  <c:v>Bemesting
actueel</c:v>
                </c:pt>
              </c:strCache>
            </c:strRef>
          </c:tx>
          <c:spPr>
            <a:solidFill>
              <a:schemeClr val="accent2">
                <a:lumMod val="50000"/>
              </a:schemeClr>
            </a:solidFill>
            <a:ln>
              <a:noFill/>
            </a:ln>
            <a:effectLst/>
          </c:spPr>
          <c:invertIfNegative val="0"/>
          <c:cat>
            <c:strRef>
              <c:f>Sheet!$T$86:$T$87</c:f>
              <c:strCache>
                <c:ptCount val="2"/>
                <c:pt idx="0">
                  <c:v>Zomer</c:v>
                </c:pt>
                <c:pt idx="1">
                  <c:v>Jaar</c:v>
                </c:pt>
              </c:strCache>
            </c:strRef>
          </c:cat>
          <c:val>
            <c:numRef>
              <c:f>Sheet!$U$86:$U$87</c:f>
              <c:numCache>
                <c:formatCode>0%</c:formatCode>
                <c:ptCount val="2"/>
                <c:pt idx="0">
                  <c:v>#N/A</c:v>
                </c:pt>
                <c:pt idx="1">
                  <c:v>#N/A</c:v>
                </c:pt>
              </c:numCache>
            </c:numRef>
          </c:val>
          <c:extLst>
            <c:ext xmlns:c16="http://schemas.microsoft.com/office/drawing/2014/chart" uri="{C3380CC4-5D6E-409C-BE32-E72D297353CC}">
              <c16:uniqueId val="{00000015-621B-4810-8938-21D4EF17AC6B}"/>
            </c:ext>
          </c:extLst>
        </c:ser>
        <c:ser>
          <c:idx val="1"/>
          <c:order val="1"/>
          <c:tx>
            <c:strRef>
              <c:f>Sheet!$V$85</c:f>
              <c:strCache>
                <c:ptCount val="1"/>
                <c:pt idx="0">
                  <c:v>Bemesting
historisch</c:v>
                </c:pt>
              </c:strCache>
            </c:strRef>
          </c:tx>
          <c:spPr>
            <a:pattFill prst="dkUpDiag">
              <a:fgClr>
                <a:schemeClr val="accent2">
                  <a:lumMod val="50000"/>
                </a:schemeClr>
              </a:fgClr>
              <a:bgClr>
                <a:schemeClr val="bg1"/>
              </a:bgClr>
            </a:pattFill>
            <a:ln>
              <a:noFill/>
            </a:ln>
            <a:effectLst/>
          </c:spPr>
          <c:invertIfNegative val="0"/>
          <c:cat>
            <c:strRef>
              <c:f>Sheet!$T$86:$T$87</c:f>
              <c:strCache>
                <c:ptCount val="2"/>
                <c:pt idx="0">
                  <c:v>Zomer</c:v>
                </c:pt>
                <c:pt idx="1">
                  <c:v>Jaar</c:v>
                </c:pt>
              </c:strCache>
            </c:strRef>
          </c:cat>
          <c:val>
            <c:numRef>
              <c:f>Sheet!$V$86:$V$87</c:f>
              <c:numCache>
                <c:formatCode>0%</c:formatCode>
                <c:ptCount val="2"/>
                <c:pt idx="0">
                  <c:v>#N/A</c:v>
                </c:pt>
                <c:pt idx="1">
                  <c:v>#N/A</c:v>
                </c:pt>
              </c:numCache>
            </c:numRef>
          </c:val>
          <c:extLst>
            <c:ext xmlns:c16="http://schemas.microsoft.com/office/drawing/2014/chart" uri="{C3380CC4-5D6E-409C-BE32-E72D297353CC}">
              <c16:uniqueId val="{00000017-621B-4810-8938-21D4EF17AC6B}"/>
            </c:ext>
          </c:extLst>
        </c:ser>
        <c:ser>
          <c:idx val="2"/>
          <c:order val="2"/>
          <c:tx>
            <c:strRef>
              <c:f>Sheet!$W$85</c:f>
              <c:strCache>
                <c:ptCount val="1"/>
                <c:pt idx="0">
                  <c:v>Depositie</c:v>
                </c:pt>
              </c:strCache>
            </c:strRef>
          </c:tx>
          <c:spPr>
            <a:pattFill prst="dkUpDiag">
              <a:fgClr>
                <a:srgbClr val="FFFF00"/>
              </a:fgClr>
              <a:bgClr>
                <a:schemeClr val="bg2">
                  <a:lumMod val="50000"/>
                </a:schemeClr>
              </a:bgClr>
            </a:pattFill>
            <a:ln>
              <a:noFill/>
            </a:ln>
            <a:effectLst/>
          </c:spPr>
          <c:invertIfNegative val="0"/>
          <c:cat>
            <c:strRef>
              <c:f>Sheet!$T$86:$T$87</c:f>
              <c:strCache>
                <c:ptCount val="2"/>
                <c:pt idx="0">
                  <c:v>Zomer</c:v>
                </c:pt>
                <c:pt idx="1">
                  <c:v>Jaar</c:v>
                </c:pt>
              </c:strCache>
            </c:strRef>
          </c:cat>
          <c:val>
            <c:numRef>
              <c:f>Sheet!$W$86:$W$87</c:f>
              <c:numCache>
                <c:formatCode>0%</c:formatCode>
                <c:ptCount val="2"/>
                <c:pt idx="0">
                  <c:v>#N/A</c:v>
                </c:pt>
                <c:pt idx="1">
                  <c:v>#N/A</c:v>
                </c:pt>
              </c:numCache>
            </c:numRef>
          </c:val>
          <c:extLst>
            <c:ext xmlns:c16="http://schemas.microsoft.com/office/drawing/2014/chart" uri="{C3380CC4-5D6E-409C-BE32-E72D297353CC}">
              <c16:uniqueId val="{00000019-621B-4810-8938-21D4EF17AC6B}"/>
            </c:ext>
          </c:extLst>
        </c:ser>
        <c:ser>
          <c:idx val="3"/>
          <c:order val="3"/>
          <c:tx>
            <c:strRef>
              <c:f>Sheet!$X$85</c:f>
              <c:strCache>
                <c:ptCount val="1"/>
                <c:pt idx="0">
                  <c:v>Infiltratie</c:v>
                </c:pt>
              </c:strCache>
            </c:strRef>
          </c:tx>
          <c:spPr>
            <a:pattFill prst="pct75">
              <a:fgClr>
                <a:srgbClr val="0070C0"/>
              </a:fgClr>
              <a:bgClr>
                <a:schemeClr val="bg1"/>
              </a:bgClr>
            </a:pattFill>
            <a:ln>
              <a:noFill/>
            </a:ln>
            <a:effectLst/>
          </c:spPr>
          <c:invertIfNegative val="0"/>
          <c:cat>
            <c:strRef>
              <c:f>Sheet!$T$86:$T$87</c:f>
              <c:strCache>
                <c:ptCount val="2"/>
                <c:pt idx="0">
                  <c:v>Zomer</c:v>
                </c:pt>
                <c:pt idx="1">
                  <c:v>Jaar</c:v>
                </c:pt>
              </c:strCache>
            </c:strRef>
          </c:cat>
          <c:val>
            <c:numRef>
              <c:f>Sheet!$X$86:$X$87</c:f>
              <c:numCache>
                <c:formatCode>0%</c:formatCode>
                <c:ptCount val="2"/>
                <c:pt idx="0">
                  <c:v>#N/A</c:v>
                </c:pt>
                <c:pt idx="1">
                  <c:v>#N/A</c:v>
                </c:pt>
              </c:numCache>
            </c:numRef>
          </c:val>
          <c:extLst>
            <c:ext xmlns:c16="http://schemas.microsoft.com/office/drawing/2014/chart" uri="{C3380CC4-5D6E-409C-BE32-E72D297353CC}">
              <c16:uniqueId val="{0000001B-621B-4810-8938-21D4EF17AC6B}"/>
            </c:ext>
          </c:extLst>
        </c:ser>
        <c:ser>
          <c:idx val="4"/>
          <c:order val="4"/>
          <c:tx>
            <c:strRef>
              <c:f>Sheet!$Y$85</c:f>
              <c:strCache>
                <c:ptCount val="1"/>
                <c:pt idx="0">
                  <c:v>Kwel</c:v>
                </c:pt>
              </c:strCache>
            </c:strRef>
          </c:tx>
          <c:spPr>
            <a:pattFill prst="pct70">
              <a:fgClr>
                <a:schemeClr val="bg1"/>
              </a:fgClr>
              <a:bgClr>
                <a:srgbClr val="0070C0"/>
              </a:bgClr>
            </a:pattFill>
            <a:ln>
              <a:noFill/>
            </a:ln>
            <a:effectLst/>
          </c:spPr>
          <c:invertIfNegative val="0"/>
          <c:cat>
            <c:strRef>
              <c:f>Sheet!$T$86:$T$87</c:f>
              <c:strCache>
                <c:ptCount val="2"/>
                <c:pt idx="0">
                  <c:v>Zomer</c:v>
                </c:pt>
                <c:pt idx="1">
                  <c:v>Jaar</c:v>
                </c:pt>
              </c:strCache>
            </c:strRef>
          </c:cat>
          <c:val>
            <c:numRef>
              <c:f>Sheet!$Y$86:$Y$87</c:f>
              <c:numCache>
                <c:formatCode>0%</c:formatCode>
                <c:ptCount val="2"/>
                <c:pt idx="0">
                  <c:v>#N/A</c:v>
                </c:pt>
                <c:pt idx="1">
                  <c:v>#N/A</c:v>
                </c:pt>
              </c:numCache>
            </c:numRef>
          </c:val>
          <c:extLst>
            <c:ext xmlns:c16="http://schemas.microsoft.com/office/drawing/2014/chart" uri="{C3380CC4-5D6E-409C-BE32-E72D297353CC}">
              <c16:uniqueId val="{0000001D-621B-4810-8938-21D4EF17AC6B}"/>
            </c:ext>
          </c:extLst>
        </c:ser>
        <c:ser>
          <c:idx val="5"/>
          <c:order val="5"/>
          <c:tx>
            <c:strRef>
              <c:f>Sheet!$Z$85</c:f>
              <c:strCache>
                <c:ptCount val="1"/>
                <c:pt idx="0">
                  <c:v>Mineralisatie
en uitloging</c:v>
                </c:pt>
              </c:strCache>
            </c:strRef>
          </c:tx>
          <c:spPr>
            <a:pattFill prst="pct70">
              <a:fgClr>
                <a:schemeClr val="accent2">
                  <a:lumMod val="50000"/>
                </a:schemeClr>
              </a:fgClr>
              <a:bgClr>
                <a:schemeClr val="bg1"/>
              </a:bgClr>
            </a:pattFill>
            <a:ln>
              <a:noFill/>
            </a:ln>
            <a:effectLst/>
          </c:spPr>
          <c:invertIfNegative val="0"/>
          <c:cat>
            <c:strRef>
              <c:f>Sheet!$T$86:$T$87</c:f>
              <c:strCache>
                <c:ptCount val="2"/>
                <c:pt idx="0">
                  <c:v>Zomer</c:v>
                </c:pt>
                <c:pt idx="1">
                  <c:v>Jaar</c:v>
                </c:pt>
              </c:strCache>
            </c:strRef>
          </c:cat>
          <c:val>
            <c:numRef>
              <c:f>Sheet!$Z$86:$Z$87</c:f>
              <c:numCache>
                <c:formatCode>0%</c:formatCode>
                <c:ptCount val="2"/>
                <c:pt idx="0">
                  <c:v>#N/A</c:v>
                </c:pt>
                <c:pt idx="1">
                  <c:v>#N/A</c:v>
                </c:pt>
              </c:numCache>
            </c:numRef>
          </c:val>
          <c:extLst>
            <c:ext xmlns:c16="http://schemas.microsoft.com/office/drawing/2014/chart" uri="{C3380CC4-5D6E-409C-BE32-E72D297353CC}">
              <c16:uniqueId val="{0000001F-621B-4810-8938-21D4EF17AC6B}"/>
            </c:ext>
          </c:extLst>
        </c:ser>
        <c:ser>
          <c:idx val="6"/>
          <c:order val="6"/>
          <c:tx>
            <c:strRef>
              <c:f>Sheet!$AA$85</c:f>
              <c:strCache>
                <c:ptCount val="1"/>
                <c:pt idx="0">
                  <c:v>Natuur-
gronden</c:v>
                </c:pt>
              </c:strCache>
            </c:strRef>
          </c:tx>
          <c:spPr>
            <a:solidFill>
              <a:schemeClr val="accent6">
                <a:lumMod val="75000"/>
              </a:schemeClr>
            </a:solidFill>
            <a:ln>
              <a:noFill/>
            </a:ln>
            <a:effectLst/>
          </c:spPr>
          <c:invertIfNegative val="0"/>
          <c:cat>
            <c:strRef>
              <c:f>Sheet!$T$86:$T$87</c:f>
              <c:strCache>
                <c:ptCount val="2"/>
                <c:pt idx="0">
                  <c:v>Zomer</c:v>
                </c:pt>
                <c:pt idx="1">
                  <c:v>Jaar</c:v>
                </c:pt>
              </c:strCache>
            </c:strRef>
          </c:cat>
          <c:val>
            <c:numRef>
              <c:f>Sheet!$AA$86:$AA$87</c:f>
              <c:numCache>
                <c:formatCode>0%</c:formatCode>
                <c:ptCount val="2"/>
                <c:pt idx="0">
                  <c:v>#N/A</c:v>
                </c:pt>
                <c:pt idx="1">
                  <c:v>#N/A</c:v>
                </c:pt>
              </c:numCache>
            </c:numRef>
          </c:val>
          <c:extLst>
            <c:ext xmlns:c16="http://schemas.microsoft.com/office/drawing/2014/chart" uri="{C3380CC4-5D6E-409C-BE32-E72D297353CC}">
              <c16:uniqueId val="{00000021-621B-4810-8938-21D4EF17AC6B}"/>
            </c:ext>
          </c:extLst>
        </c:ser>
        <c:ser>
          <c:idx val="7"/>
          <c:order val="7"/>
          <c:tx>
            <c:strRef>
              <c:f>Sheet!$AB$85</c:f>
              <c:strCache>
                <c:ptCount val="1"/>
                <c:pt idx="0">
                  <c:v>Directe kwel</c:v>
                </c:pt>
              </c:strCache>
            </c:strRef>
          </c:tx>
          <c:spPr>
            <a:solidFill>
              <a:schemeClr val="accent2">
                <a:lumMod val="40000"/>
                <a:lumOff val="60000"/>
              </a:schemeClr>
            </a:solidFill>
            <a:ln>
              <a:noFill/>
            </a:ln>
            <a:effectLst/>
          </c:spPr>
          <c:invertIfNegative val="0"/>
          <c:cat>
            <c:strRef>
              <c:f>Sheet!$T$86:$T$87</c:f>
              <c:strCache>
                <c:ptCount val="2"/>
                <c:pt idx="0">
                  <c:v>Zomer</c:v>
                </c:pt>
                <c:pt idx="1">
                  <c:v>Jaar</c:v>
                </c:pt>
              </c:strCache>
            </c:strRef>
          </c:cat>
          <c:val>
            <c:numRef>
              <c:f>Sheet!$AB$86:$AB$87</c:f>
              <c:numCache>
                <c:formatCode>0%</c:formatCode>
                <c:ptCount val="2"/>
                <c:pt idx="0">
                  <c:v>#N/A</c:v>
                </c:pt>
                <c:pt idx="1">
                  <c:v>#N/A</c:v>
                </c:pt>
              </c:numCache>
            </c:numRef>
          </c:val>
          <c:extLst>
            <c:ext xmlns:c16="http://schemas.microsoft.com/office/drawing/2014/chart" uri="{C3380CC4-5D6E-409C-BE32-E72D297353CC}">
              <c16:uniqueId val="{00000023-621B-4810-8938-21D4EF17AC6B}"/>
            </c:ext>
          </c:extLst>
        </c:ser>
        <c:ser>
          <c:idx val="8"/>
          <c:order val="8"/>
          <c:tx>
            <c:strRef>
              <c:f>Sheet!$AC$85</c:f>
              <c:strCache>
                <c:ptCount val="1"/>
                <c:pt idx="0">
                  <c:v>Erfaf-
spoeling</c:v>
                </c:pt>
              </c:strCache>
            </c:strRef>
          </c:tx>
          <c:spPr>
            <a:pattFill prst="horzBrick">
              <a:fgClr>
                <a:schemeClr val="accent2">
                  <a:lumMod val="50000"/>
                </a:schemeClr>
              </a:fgClr>
              <a:bgClr>
                <a:schemeClr val="bg1"/>
              </a:bgClr>
            </a:pattFill>
            <a:ln>
              <a:noFill/>
            </a:ln>
            <a:effectLst/>
          </c:spPr>
          <c:invertIfNegative val="0"/>
          <c:cat>
            <c:strRef>
              <c:f>Sheet!$T$86:$T$87</c:f>
              <c:strCache>
                <c:ptCount val="2"/>
                <c:pt idx="0">
                  <c:v>Zomer</c:v>
                </c:pt>
                <c:pt idx="1">
                  <c:v>Jaar</c:v>
                </c:pt>
              </c:strCache>
            </c:strRef>
          </c:cat>
          <c:val>
            <c:numRef>
              <c:f>Sheet!$AC$86:$AC$87</c:f>
              <c:numCache>
                <c:formatCode>0%</c:formatCode>
                <c:ptCount val="2"/>
                <c:pt idx="0">
                  <c:v>#N/A</c:v>
                </c:pt>
                <c:pt idx="1">
                  <c:v>#N/A</c:v>
                </c:pt>
              </c:numCache>
            </c:numRef>
          </c:val>
          <c:extLst>
            <c:ext xmlns:c16="http://schemas.microsoft.com/office/drawing/2014/chart" uri="{C3380CC4-5D6E-409C-BE32-E72D297353CC}">
              <c16:uniqueId val="{00000025-621B-4810-8938-21D4EF17AC6B}"/>
            </c:ext>
          </c:extLst>
        </c:ser>
        <c:ser>
          <c:idx val="9"/>
          <c:order val="9"/>
          <c:tx>
            <c:strRef>
              <c:f>Sheet!$AD$85</c:f>
              <c:strCache>
                <c:ptCount val="1"/>
                <c:pt idx="0">
                  <c:v>Glas-
tuinbouw</c:v>
                </c:pt>
              </c:strCache>
            </c:strRef>
          </c:tx>
          <c:spPr>
            <a:pattFill prst="dkDnDiag">
              <a:fgClr>
                <a:srgbClr val="FF0000"/>
              </a:fgClr>
              <a:bgClr>
                <a:schemeClr val="bg1"/>
              </a:bgClr>
            </a:pattFill>
            <a:ln>
              <a:noFill/>
            </a:ln>
            <a:effectLst/>
          </c:spPr>
          <c:invertIfNegative val="0"/>
          <c:cat>
            <c:strRef>
              <c:f>Sheet!$T$86:$T$87</c:f>
              <c:strCache>
                <c:ptCount val="2"/>
                <c:pt idx="0">
                  <c:v>Zomer</c:v>
                </c:pt>
                <c:pt idx="1">
                  <c:v>Jaar</c:v>
                </c:pt>
              </c:strCache>
            </c:strRef>
          </c:cat>
          <c:val>
            <c:numRef>
              <c:f>Sheet!$AD$86:$AD$87</c:f>
              <c:numCache>
                <c:formatCode>0%</c:formatCode>
                <c:ptCount val="2"/>
                <c:pt idx="0">
                  <c:v>#N/A</c:v>
                </c:pt>
                <c:pt idx="1">
                  <c:v>#N/A</c:v>
                </c:pt>
              </c:numCache>
            </c:numRef>
          </c:val>
          <c:extLst>
            <c:ext xmlns:c16="http://schemas.microsoft.com/office/drawing/2014/chart" uri="{C3380CC4-5D6E-409C-BE32-E72D297353CC}">
              <c16:uniqueId val="{00000027-621B-4810-8938-21D4EF17AC6B}"/>
            </c:ext>
          </c:extLst>
        </c:ser>
        <c:ser>
          <c:idx val="10"/>
          <c:order val="10"/>
          <c:tx>
            <c:strRef>
              <c:f>Sheet!$AE$85</c:f>
              <c:strCache>
                <c:ptCount val="1"/>
                <c:pt idx="0">
                  <c:v>Mee-
mesten</c:v>
                </c:pt>
              </c:strCache>
            </c:strRef>
          </c:tx>
          <c:spPr>
            <a:pattFill prst="dkUpDiag">
              <a:fgClr>
                <a:schemeClr val="accent2">
                  <a:lumMod val="50000"/>
                </a:schemeClr>
              </a:fgClr>
              <a:bgClr>
                <a:schemeClr val="bg1"/>
              </a:bgClr>
            </a:pattFill>
            <a:ln>
              <a:noFill/>
            </a:ln>
            <a:effectLst/>
          </c:spPr>
          <c:invertIfNegative val="0"/>
          <c:cat>
            <c:strRef>
              <c:f>Sheet!$T$86:$T$87</c:f>
              <c:strCache>
                <c:ptCount val="2"/>
                <c:pt idx="0">
                  <c:v>Zomer</c:v>
                </c:pt>
                <c:pt idx="1">
                  <c:v>Jaar</c:v>
                </c:pt>
              </c:strCache>
            </c:strRef>
          </c:cat>
          <c:val>
            <c:numRef>
              <c:f>Sheet!$AE$86:$AE$87</c:f>
              <c:numCache>
                <c:formatCode>0%</c:formatCode>
                <c:ptCount val="2"/>
                <c:pt idx="0">
                  <c:v>#N/A</c:v>
                </c:pt>
                <c:pt idx="1">
                  <c:v>#N/A</c:v>
                </c:pt>
              </c:numCache>
            </c:numRef>
          </c:val>
          <c:extLst>
            <c:ext xmlns:c16="http://schemas.microsoft.com/office/drawing/2014/chart" uri="{C3380CC4-5D6E-409C-BE32-E72D297353CC}">
              <c16:uniqueId val="{00000029-621B-4810-8938-21D4EF17AC6B}"/>
            </c:ext>
          </c:extLst>
        </c:ser>
        <c:ser>
          <c:idx val="11"/>
          <c:order val="11"/>
          <c:tx>
            <c:strRef>
              <c:f>Sheet!$AF$85</c:f>
              <c:strCache>
                <c:ptCount val="1"/>
                <c:pt idx="0">
                  <c:v>RWZI</c:v>
                </c:pt>
              </c:strCache>
            </c:strRef>
          </c:tx>
          <c:spPr>
            <a:pattFill prst="dkUpDiag">
              <a:fgClr>
                <a:srgbClr val="FF0000"/>
              </a:fgClr>
              <a:bgClr>
                <a:schemeClr val="bg1"/>
              </a:bgClr>
            </a:pattFill>
            <a:ln>
              <a:noFill/>
            </a:ln>
            <a:effectLst/>
          </c:spPr>
          <c:invertIfNegative val="0"/>
          <c:cat>
            <c:strRef>
              <c:f>Sheet!$T$86:$T$87</c:f>
              <c:strCache>
                <c:ptCount val="2"/>
                <c:pt idx="0">
                  <c:v>Zomer</c:v>
                </c:pt>
                <c:pt idx="1">
                  <c:v>Jaar</c:v>
                </c:pt>
              </c:strCache>
            </c:strRef>
          </c:cat>
          <c:val>
            <c:numRef>
              <c:f>Sheet!$AF$86:$AF$87</c:f>
              <c:numCache>
                <c:formatCode>0%</c:formatCode>
                <c:ptCount val="2"/>
                <c:pt idx="0">
                  <c:v>#N/A</c:v>
                </c:pt>
                <c:pt idx="1">
                  <c:v>#N/A</c:v>
                </c:pt>
              </c:numCache>
            </c:numRef>
          </c:val>
          <c:extLst>
            <c:ext xmlns:c16="http://schemas.microsoft.com/office/drawing/2014/chart" uri="{C3380CC4-5D6E-409C-BE32-E72D297353CC}">
              <c16:uniqueId val="{0000002B-621B-4810-8938-21D4EF17AC6B}"/>
            </c:ext>
          </c:extLst>
        </c:ser>
        <c:ser>
          <c:idx val="12"/>
          <c:order val="12"/>
          <c:tx>
            <c:strRef>
              <c:f>Sheet!$AG$85</c:f>
              <c:strCache>
                <c:ptCount val="1"/>
                <c:pt idx="0">
                  <c:v>Industrie</c:v>
                </c:pt>
              </c:strCache>
            </c:strRef>
          </c:tx>
          <c:spPr>
            <a:solidFill>
              <a:srgbClr val="FF0000"/>
            </a:solidFill>
            <a:ln>
              <a:noFill/>
            </a:ln>
            <a:effectLst/>
          </c:spPr>
          <c:invertIfNegative val="0"/>
          <c:cat>
            <c:strRef>
              <c:f>Sheet!$T$86:$T$87</c:f>
              <c:strCache>
                <c:ptCount val="2"/>
                <c:pt idx="0">
                  <c:v>Zomer</c:v>
                </c:pt>
                <c:pt idx="1">
                  <c:v>Jaar</c:v>
                </c:pt>
              </c:strCache>
            </c:strRef>
          </c:cat>
          <c:val>
            <c:numRef>
              <c:f>Sheet!$AG$86:$AG$87</c:f>
              <c:numCache>
                <c:formatCode>0%</c:formatCode>
                <c:ptCount val="2"/>
                <c:pt idx="0">
                  <c:v>#N/A</c:v>
                </c:pt>
                <c:pt idx="1">
                  <c:v>#N/A</c:v>
                </c:pt>
              </c:numCache>
            </c:numRef>
          </c:val>
          <c:extLst>
            <c:ext xmlns:c16="http://schemas.microsoft.com/office/drawing/2014/chart" uri="{C3380CC4-5D6E-409C-BE32-E72D297353CC}">
              <c16:uniqueId val="{0000002D-621B-4810-8938-21D4EF17AC6B}"/>
            </c:ext>
          </c:extLst>
        </c:ser>
        <c:ser>
          <c:idx val="13"/>
          <c:order val="13"/>
          <c:tx>
            <c:strRef>
              <c:f>Sheet!$AH$85</c:f>
              <c:strCache>
                <c:ptCount val="1"/>
                <c:pt idx="0">
                  <c:v>Depositie
open water</c:v>
                </c:pt>
              </c:strCache>
            </c:strRef>
          </c:tx>
          <c:spPr>
            <a:solidFill>
              <a:srgbClr val="FFFF00"/>
            </a:solidFill>
            <a:ln>
              <a:noFill/>
            </a:ln>
            <a:effectLst/>
          </c:spPr>
          <c:invertIfNegative val="0"/>
          <c:cat>
            <c:strRef>
              <c:f>Sheet!$T$86:$T$87</c:f>
              <c:strCache>
                <c:ptCount val="2"/>
                <c:pt idx="0">
                  <c:v>Zomer</c:v>
                </c:pt>
                <c:pt idx="1">
                  <c:v>Jaar</c:v>
                </c:pt>
              </c:strCache>
            </c:strRef>
          </c:cat>
          <c:val>
            <c:numRef>
              <c:f>Sheet!$AH$86:$AH$87</c:f>
              <c:numCache>
                <c:formatCode>0%</c:formatCode>
                <c:ptCount val="2"/>
                <c:pt idx="0">
                  <c:v>#N/A</c:v>
                </c:pt>
                <c:pt idx="1">
                  <c:v>#N/A</c:v>
                </c:pt>
              </c:numCache>
            </c:numRef>
          </c:val>
          <c:extLst>
            <c:ext xmlns:c16="http://schemas.microsoft.com/office/drawing/2014/chart" uri="{C3380CC4-5D6E-409C-BE32-E72D297353CC}">
              <c16:uniqueId val="{0000002F-621B-4810-8938-21D4EF17AC6B}"/>
            </c:ext>
          </c:extLst>
        </c:ser>
        <c:ser>
          <c:idx val="14"/>
          <c:order val="14"/>
          <c:tx>
            <c:strRef>
              <c:f>Sheet!$AI$85</c:f>
              <c:strCache>
                <c:ptCount val="1"/>
                <c:pt idx="0">
                  <c:v>Overstort</c:v>
                </c:pt>
              </c:strCache>
            </c:strRef>
          </c:tx>
          <c:spPr>
            <a:pattFill prst="dkDnDiag">
              <a:fgClr>
                <a:srgbClr val="0070C0"/>
              </a:fgClr>
              <a:bgClr>
                <a:schemeClr val="bg1"/>
              </a:bgClr>
            </a:pattFill>
            <a:ln>
              <a:noFill/>
            </a:ln>
            <a:effectLst/>
          </c:spPr>
          <c:invertIfNegative val="0"/>
          <c:cat>
            <c:strRef>
              <c:f>Sheet!$T$86:$T$87</c:f>
              <c:strCache>
                <c:ptCount val="2"/>
                <c:pt idx="0">
                  <c:v>Zomer</c:v>
                </c:pt>
                <c:pt idx="1">
                  <c:v>Jaar</c:v>
                </c:pt>
              </c:strCache>
            </c:strRef>
          </c:cat>
          <c:val>
            <c:numRef>
              <c:f>Sheet!$AI$86:$AI$87</c:f>
              <c:numCache>
                <c:formatCode>0%</c:formatCode>
                <c:ptCount val="2"/>
                <c:pt idx="0">
                  <c:v>#N/A</c:v>
                </c:pt>
                <c:pt idx="1">
                  <c:v>#N/A</c:v>
                </c:pt>
              </c:numCache>
            </c:numRef>
          </c:val>
          <c:extLst>
            <c:ext xmlns:c16="http://schemas.microsoft.com/office/drawing/2014/chart" uri="{C3380CC4-5D6E-409C-BE32-E72D297353CC}">
              <c16:uniqueId val="{00000031-621B-4810-8938-21D4EF17AC6B}"/>
            </c:ext>
          </c:extLst>
        </c:ser>
        <c:ser>
          <c:idx val="15"/>
          <c:order val="15"/>
          <c:tx>
            <c:strRef>
              <c:f>Sheet!$AJ$85</c:f>
              <c:strCache>
                <c:ptCount val="1"/>
                <c:pt idx="0">
                  <c:v>Regen
waterriolen</c:v>
                </c:pt>
              </c:strCache>
            </c:strRef>
          </c:tx>
          <c:spPr>
            <a:pattFill prst="dkUpDiag">
              <a:fgClr>
                <a:srgbClr val="0070C0"/>
              </a:fgClr>
              <a:bgClr>
                <a:schemeClr val="bg1"/>
              </a:bgClr>
            </a:pattFill>
            <a:ln>
              <a:noFill/>
            </a:ln>
            <a:effectLst/>
          </c:spPr>
          <c:invertIfNegative val="0"/>
          <c:cat>
            <c:strRef>
              <c:f>Sheet!$T$86:$T$87</c:f>
              <c:strCache>
                <c:ptCount val="2"/>
                <c:pt idx="0">
                  <c:v>Zomer</c:v>
                </c:pt>
                <c:pt idx="1">
                  <c:v>Jaar</c:v>
                </c:pt>
              </c:strCache>
            </c:strRef>
          </c:cat>
          <c:val>
            <c:numRef>
              <c:f>Sheet!$AJ$86:$AJ$87</c:f>
              <c:numCache>
                <c:formatCode>0%</c:formatCode>
                <c:ptCount val="2"/>
                <c:pt idx="0">
                  <c:v>#N/A</c:v>
                </c:pt>
                <c:pt idx="1">
                  <c:v>#N/A</c:v>
                </c:pt>
              </c:numCache>
            </c:numRef>
          </c:val>
          <c:extLst>
            <c:ext xmlns:c16="http://schemas.microsoft.com/office/drawing/2014/chart" uri="{C3380CC4-5D6E-409C-BE32-E72D297353CC}">
              <c16:uniqueId val="{00000033-621B-4810-8938-21D4EF17AC6B}"/>
            </c:ext>
          </c:extLst>
        </c:ser>
        <c:ser>
          <c:idx val="16"/>
          <c:order val="16"/>
          <c:tx>
            <c:strRef>
              <c:f>Sheet!$AK$85</c:f>
              <c:strCache>
                <c:ptCount val="1"/>
                <c:pt idx="0">
                  <c:v>Water-
vogels</c:v>
                </c:pt>
              </c:strCache>
            </c:strRef>
          </c:tx>
          <c:spPr>
            <a:solidFill>
              <a:schemeClr val="accent6">
                <a:lumMod val="40000"/>
                <a:lumOff val="60000"/>
              </a:schemeClr>
            </a:solidFill>
            <a:ln>
              <a:noFill/>
            </a:ln>
            <a:effectLst/>
          </c:spPr>
          <c:invertIfNegative val="0"/>
          <c:cat>
            <c:strRef>
              <c:f>Sheet!$T$86:$T$87</c:f>
              <c:strCache>
                <c:ptCount val="2"/>
                <c:pt idx="0">
                  <c:v>Zomer</c:v>
                </c:pt>
                <c:pt idx="1">
                  <c:v>Jaar</c:v>
                </c:pt>
              </c:strCache>
            </c:strRef>
          </c:cat>
          <c:val>
            <c:numRef>
              <c:f>Sheet!$AK$86:$AK$87</c:f>
              <c:numCache>
                <c:formatCode>0%</c:formatCode>
                <c:ptCount val="2"/>
                <c:pt idx="0">
                  <c:v>#N/A</c:v>
                </c:pt>
                <c:pt idx="1">
                  <c:v>#N/A</c:v>
                </c:pt>
              </c:numCache>
            </c:numRef>
          </c:val>
          <c:extLst>
            <c:ext xmlns:c16="http://schemas.microsoft.com/office/drawing/2014/chart" uri="{C3380CC4-5D6E-409C-BE32-E72D297353CC}">
              <c16:uniqueId val="{00000035-621B-4810-8938-21D4EF17AC6B}"/>
            </c:ext>
          </c:extLst>
        </c:ser>
        <c:ser>
          <c:idx val="17"/>
          <c:order val="17"/>
          <c:tx>
            <c:strRef>
              <c:f>Sheet!$AL$85</c:f>
              <c:strCache>
                <c:ptCount val="1"/>
                <c:pt idx="0">
                  <c:v>Binnen-
vaart</c:v>
                </c:pt>
              </c:strCache>
            </c:strRef>
          </c:tx>
          <c:spPr>
            <a:solidFill>
              <a:schemeClr val="accent5">
                <a:lumMod val="20000"/>
                <a:lumOff val="80000"/>
              </a:schemeClr>
            </a:solidFill>
            <a:ln>
              <a:noFill/>
            </a:ln>
            <a:effectLst/>
          </c:spPr>
          <c:invertIfNegative val="0"/>
          <c:cat>
            <c:strRef>
              <c:f>Sheet!$T$86:$T$87</c:f>
              <c:strCache>
                <c:ptCount val="2"/>
                <c:pt idx="0">
                  <c:v>Zomer</c:v>
                </c:pt>
                <c:pt idx="1">
                  <c:v>Jaar</c:v>
                </c:pt>
              </c:strCache>
            </c:strRef>
          </c:cat>
          <c:val>
            <c:numRef>
              <c:f>Sheet!$AL$86:$AL$87</c:f>
              <c:numCache>
                <c:formatCode>0%</c:formatCode>
                <c:ptCount val="2"/>
                <c:pt idx="0">
                  <c:v>#N/A</c:v>
                </c:pt>
                <c:pt idx="1">
                  <c:v>#N/A</c:v>
                </c:pt>
              </c:numCache>
            </c:numRef>
          </c:val>
          <c:extLst>
            <c:ext xmlns:c16="http://schemas.microsoft.com/office/drawing/2014/chart" uri="{C3380CC4-5D6E-409C-BE32-E72D297353CC}">
              <c16:uniqueId val="{00000037-621B-4810-8938-21D4EF17AC6B}"/>
            </c:ext>
          </c:extLst>
        </c:ser>
        <c:ser>
          <c:idx val="18"/>
          <c:order val="18"/>
          <c:tx>
            <c:strRef>
              <c:f>Sheet!$AM$85</c:f>
              <c:strCache>
                <c:ptCount val="1"/>
                <c:pt idx="0">
                  <c:v>Overige</c:v>
                </c:pt>
              </c:strCache>
            </c:strRef>
          </c:tx>
          <c:spPr>
            <a:solidFill>
              <a:schemeClr val="bg2"/>
            </a:solidFill>
            <a:ln>
              <a:noFill/>
            </a:ln>
            <a:effectLst/>
          </c:spPr>
          <c:invertIfNegative val="0"/>
          <c:cat>
            <c:strRef>
              <c:f>Sheet!$T$86:$T$87</c:f>
              <c:strCache>
                <c:ptCount val="2"/>
                <c:pt idx="0">
                  <c:v>Zomer</c:v>
                </c:pt>
                <c:pt idx="1">
                  <c:v>Jaar</c:v>
                </c:pt>
              </c:strCache>
            </c:strRef>
          </c:cat>
          <c:val>
            <c:numRef>
              <c:f>Sheet!$AM$86:$AM$87</c:f>
              <c:numCache>
                <c:formatCode>0%</c:formatCode>
                <c:ptCount val="2"/>
                <c:pt idx="0">
                  <c:v>#N/A</c:v>
                </c:pt>
                <c:pt idx="1">
                  <c:v>#N/A</c:v>
                </c:pt>
              </c:numCache>
            </c:numRef>
          </c:val>
          <c:extLst>
            <c:ext xmlns:c16="http://schemas.microsoft.com/office/drawing/2014/chart" uri="{C3380CC4-5D6E-409C-BE32-E72D297353CC}">
              <c16:uniqueId val="{00000039-621B-4810-8938-21D4EF17AC6B}"/>
            </c:ext>
          </c:extLst>
        </c:ser>
        <c:ser>
          <c:idx val="19"/>
          <c:order val="19"/>
          <c:tx>
            <c:strRef>
              <c:f>Sheet!$AN$85</c:f>
              <c:strCache>
                <c:ptCount val="1"/>
                <c:pt idx="0">
                  <c:v>Inlaat Rijkswater</c:v>
                </c:pt>
              </c:strCache>
            </c:strRef>
          </c:tx>
          <c:spPr>
            <a:solidFill>
              <a:schemeClr val="accent4"/>
            </a:solidFill>
            <a:ln>
              <a:noFill/>
            </a:ln>
            <a:effectLst/>
          </c:spPr>
          <c:invertIfNegative val="0"/>
          <c:cat>
            <c:strRef>
              <c:f>Sheet!$T$86:$T$87</c:f>
              <c:strCache>
                <c:ptCount val="2"/>
                <c:pt idx="0">
                  <c:v>Zomer</c:v>
                </c:pt>
                <c:pt idx="1">
                  <c:v>Jaar</c:v>
                </c:pt>
              </c:strCache>
            </c:strRef>
          </c:cat>
          <c:val>
            <c:numRef>
              <c:f>Sheet!$AN$86:$AN$87</c:f>
              <c:numCache>
                <c:formatCode>0%</c:formatCode>
                <c:ptCount val="2"/>
                <c:pt idx="0">
                  <c:v>#N/A</c:v>
                </c:pt>
                <c:pt idx="1">
                  <c:v>#N/A</c:v>
                </c:pt>
              </c:numCache>
            </c:numRef>
          </c:val>
          <c:extLst>
            <c:ext xmlns:c16="http://schemas.microsoft.com/office/drawing/2014/chart" uri="{C3380CC4-5D6E-409C-BE32-E72D297353CC}">
              <c16:uniqueId val="{0000003B-621B-4810-8938-21D4EF17AC6B}"/>
            </c:ext>
          </c:extLst>
        </c:ser>
        <c:dLbls>
          <c:showLegendKey val="0"/>
          <c:showVal val="0"/>
          <c:showCatName val="0"/>
          <c:showSerName val="0"/>
          <c:showPercent val="0"/>
          <c:showBubbleSize val="0"/>
        </c:dLbls>
        <c:gapWidth val="150"/>
        <c:overlap val="100"/>
        <c:axId val="142744144"/>
        <c:axId val="142727824"/>
      </c:barChart>
      <c:catAx>
        <c:axId val="14274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nl-NL"/>
          </a:p>
        </c:txPr>
        <c:crossAx val="142727824"/>
        <c:crosses val="autoZero"/>
        <c:auto val="1"/>
        <c:lblAlgn val="ctr"/>
        <c:lblOffset val="100"/>
        <c:noMultiLvlLbl val="0"/>
      </c:catAx>
      <c:valAx>
        <c:axId val="1427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nl-NL"/>
          </a:p>
        </c:txPr>
        <c:crossAx val="142744144"/>
        <c:crosses val="autoZero"/>
        <c:crossBetween val="between"/>
      </c:valAx>
    </c:plotArea>
    <c:plotVisOnly val="1"/>
    <c:dispBlanksAs val="gap"/>
    <c:showDLblsOverMax val="0"/>
    <c:extLst/>
  </c:chart>
  <c:txPr>
    <a:bodyPr/>
    <a:lstStyle/>
    <a:p>
      <a:pPr>
        <a:defRPr sz="1200"/>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Fosfor</a:t>
            </a:r>
          </a:p>
        </c:rich>
      </c:tx>
      <c:overlay val="0"/>
    </c:title>
    <c:autoTitleDeleted val="0"/>
    <c:plotArea>
      <c:layout>
        <c:manualLayout>
          <c:layoutTarget val="inner"/>
          <c:xMode val="edge"/>
          <c:yMode val="edge"/>
          <c:x val="8.1383887352675058E-2"/>
          <c:y val="8.6549506883530955E-2"/>
          <c:w val="0.82300371662994809"/>
          <c:h val="0.8632811071878298"/>
        </c:manualLayout>
      </c:layout>
      <c:barChart>
        <c:barDir val="col"/>
        <c:grouping val="percentStacked"/>
        <c:varyColors val="0"/>
        <c:ser>
          <c:idx val="0"/>
          <c:order val="0"/>
          <c:tx>
            <c:strRef>
              <c:f>Sheet!$U$85</c:f>
              <c:strCache>
                <c:ptCount val="1"/>
                <c:pt idx="0">
                  <c:v>Bemesting
actueel</c:v>
                </c:pt>
              </c:strCache>
            </c:strRef>
          </c:tx>
          <c:spPr>
            <a:solidFill>
              <a:schemeClr val="accent2">
                <a:lumMod val="50000"/>
              </a:schemeClr>
            </a:solidFill>
            <a:ln>
              <a:noFill/>
            </a:ln>
            <a:effectLst/>
          </c:spPr>
          <c:invertIfNegative val="0"/>
          <c:cat>
            <c:strRef>
              <c:f>Sheet!$T$88:$T$89</c:f>
              <c:strCache>
                <c:ptCount val="2"/>
                <c:pt idx="0">
                  <c:v>Zomer</c:v>
                </c:pt>
                <c:pt idx="1">
                  <c:v>Jaar</c:v>
                </c:pt>
              </c:strCache>
            </c:strRef>
          </c:cat>
          <c:val>
            <c:numRef>
              <c:f>Sheet!$U$88:$U$89</c:f>
              <c:numCache>
                <c:formatCode>0%</c:formatCode>
                <c:ptCount val="2"/>
                <c:pt idx="0">
                  <c:v>#N/A</c:v>
                </c:pt>
                <c:pt idx="1">
                  <c:v>#N/A</c:v>
                </c:pt>
              </c:numCache>
            </c:numRef>
          </c:val>
          <c:extLst>
            <c:ext xmlns:c16="http://schemas.microsoft.com/office/drawing/2014/chart" uri="{C3380CC4-5D6E-409C-BE32-E72D297353CC}">
              <c16:uniqueId val="{00000015-6CE5-4CD6-960F-2EEB80620F76}"/>
            </c:ext>
          </c:extLst>
        </c:ser>
        <c:ser>
          <c:idx val="1"/>
          <c:order val="1"/>
          <c:tx>
            <c:strRef>
              <c:f>Sheet!$V$85</c:f>
              <c:strCache>
                <c:ptCount val="1"/>
                <c:pt idx="0">
                  <c:v>Bemesting
historisch</c:v>
                </c:pt>
              </c:strCache>
            </c:strRef>
          </c:tx>
          <c:spPr>
            <a:pattFill prst="dkUpDiag">
              <a:fgClr>
                <a:schemeClr val="accent2">
                  <a:lumMod val="50000"/>
                </a:schemeClr>
              </a:fgClr>
              <a:bgClr>
                <a:schemeClr val="bg1"/>
              </a:bgClr>
            </a:pattFill>
            <a:ln>
              <a:noFill/>
            </a:ln>
            <a:effectLst/>
          </c:spPr>
          <c:invertIfNegative val="0"/>
          <c:cat>
            <c:strRef>
              <c:f>Sheet!$T$88:$T$89</c:f>
              <c:strCache>
                <c:ptCount val="2"/>
                <c:pt idx="0">
                  <c:v>Zomer</c:v>
                </c:pt>
                <c:pt idx="1">
                  <c:v>Jaar</c:v>
                </c:pt>
              </c:strCache>
            </c:strRef>
          </c:cat>
          <c:val>
            <c:numRef>
              <c:f>Sheet!$V$88:$V$89</c:f>
              <c:numCache>
                <c:formatCode>0%</c:formatCode>
                <c:ptCount val="2"/>
                <c:pt idx="0">
                  <c:v>#N/A</c:v>
                </c:pt>
                <c:pt idx="1">
                  <c:v>#N/A</c:v>
                </c:pt>
              </c:numCache>
            </c:numRef>
          </c:val>
          <c:extLst>
            <c:ext xmlns:c16="http://schemas.microsoft.com/office/drawing/2014/chart" uri="{C3380CC4-5D6E-409C-BE32-E72D297353CC}">
              <c16:uniqueId val="{00000017-6CE5-4CD6-960F-2EEB80620F76}"/>
            </c:ext>
          </c:extLst>
        </c:ser>
        <c:ser>
          <c:idx val="2"/>
          <c:order val="2"/>
          <c:tx>
            <c:strRef>
              <c:f>Sheet!$W$85</c:f>
              <c:strCache>
                <c:ptCount val="1"/>
                <c:pt idx="0">
                  <c:v>Depositie</c:v>
                </c:pt>
              </c:strCache>
            </c:strRef>
          </c:tx>
          <c:spPr>
            <a:pattFill prst="dkUpDiag">
              <a:fgClr>
                <a:srgbClr val="FFFF00"/>
              </a:fgClr>
              <a:bgClr>
                <a:schemeClr val="bg2">
                  <a:lumMod val="50000"/>
                </a:schemeClr>
              </a:bgClr>
            </a:pattFill>
            <a:ln>
              <a:noFill/>
            </a:ln>
            <a:effectLst/>
          </c:spPr>
          <c:invertIfNegative val="0"/>
          <c:cat>
            <c:strRef>
              <c:f>Sheet!$T$88:$T$89</c:f>
              <c:strCache>
                <c:ptCount val="2"/>
                <c:pt idx="0">
                  <c:v>Zomer</c:v>
                </c:pt>
                <c:pt idx="1">
                  <c:v>Jaar</c:v>
                </c:pt>
              </c:strCache>
            </c:strRef>
          </c:cat>
          <c:val>
            <c:numRef>
              <c:f>Sheet!$W$88:$W$89</c:f>
              <c:numCache>
                <c:formatCode>0%</c:formatCode>
                <c:ptCount val="2"/>
                <c:pt idx="0">
                  <c:v>#N/A</c:v>
                </c:pt>
                <c:pt idx="1">
                  <c:v>#N/A</c:v>
                </c:pt>
              </c:numCache>
            </c:numRef>
          </c:val>
          <c:extLst>
            <c:ext xmlns:c16="http://schemas.microsoft.com/office/drawing/2014/chart" uri="{C3380CC4-5D6E-409C-BE32-E72D297353CC}">
              <c16:uniqueId val="{00000019-6CE5-4CD6-960F-2EEB80620F76}"/>
            </c:ext>
          </c:extLst>
        </c:ser>
        <c:ser>
          <c:idx val="3"/>
          <c:order val="3"/>
          <c:tx>
            <c:strRef>
              <c:f>Sheet!$X$85</c:f>
              <c:strCache>
                <c:ptCount val="1"/>
                <c:pt idx="0">
                  <c:v>Infiltratie</c:v>
                </c:pt>
              </c:strCache>
            </c:strRef>
          </c:tx>
          <c:spPr>
            <a:pattFill prst="pct75">
              <a:fgClr>
                <a:srgbClr val="0070C0"/>
              </a:fgClr>
              <a:bgClr>
                <a:schemeClr val="bg1"/>
              </a:bgClr>
            </a:pattFill>
            <a:ln>
              <a:noFill/>
            </a:ln>
            <a:effectLst/>
          </c:spPr>
          <c:invertIfNegative val="0"/>
          <c:cat>
            <c:strRef>
              <c:f>Sheet!$T$88:$T$89</c:f>
              <c:strCache>
                <c:ptCount val="2"/>
                <c:pt idx="0">
                  <c:v>Zomer</c:v>
                </c:pt>
                <c:pt idx="1">
                  <c:v>Jaar</c:v>
                </c:pt>
              </c:strCache>
            </c:strRef>
          </c:cat>
          <c:val>
            <c:numRef>
              <c:f>Sheet!$X$88:$X$89</c:f>
              <c:numCache>
                <c:formatCode>0%</c:formatCode>
                <c:ptCount val="2"/>
                <c:pt idx="0">
                  <c:v>#N/A</c:v>
                </c:pt>
                <c:pt idx="1">
                  <c:v>#N/A</c:v>
                </c:pt>
              </c:numCache>
            </c:numRef>
          </c:val>
          <c:extLst>
            <c:ext xmlns:c16="http://schemas.microsoft.com/office/drawing/2014/chart" uri="{C3380CC4-5D6E-409C-BE32-E72D297353CC}">
              <c16:uniqueId val="{0000001B-6CE5-4CD6-960F-2EEB80620F76}"/>
            </c:ext>
          </c:extLst>
        </c:ser>
        <c:ser>
          <c:idx val="4"/>
          <c:order val="4"/>
          <c:tx>
            <c:strRef>
              <c:f>Sheet!$Y$85</c:f>
              <c:strCache>
                <c:ptCount val="1"/>
                <c:pt idx="0">
                  <c:v>Kwel</c:v>
                </c:pt>
              </c:strCache>
            </c:strRef>
          </c:tx>
          <c:spPr>
            <a:pattFill prst="pct70">
              <a:fgClr>
                <a:schemeClr val="bg1"/>
              </a:fgClr>
              <a:bgClr>
                <a:srgbClr val="0070C0"/>
              </a:bgClr>
            </a:pattFill>
            <a:ln>
              <a:noFill/>
            </a:ln>
            <a:effectLst/>
          </c:spPr>
          <c:invertIfNegative val="0"/>
          <c:cat>
            <c:strRef>
              <c:f>Sheet!$T$88:$T$89</c:f>
              <c:strCache>
                <c:ptCount val="2"/>
                <c:pt idx="0">
                  <c:v>Zomer</c:v>
                </c:pt>
                <c:pt idx="1">
                  <c:v>Jaar</c:v>
                </c:pt>
              </c:strCache>
            </c:strRef>
          </c:cat>
          <c:val>
            <c:numRef>
              <c:f>Sheet!$Y$88:$Y$89</c:f>
              <c:numCache>
                <c:formatCode>0%</c:formatCode>
                <c:ptCount val="2"/>
                <c:pt idx="0">
                  <c:v>#N/A</c:v>
                </c:pt>
                <c:pt idx="1">
                  <c:v>#N/A</c:v>
                </c:pt>
              </c:numCache>
            </c:numRef>
          </c:val>
          <c:extLst>
            <c:ext xmlns:c16="http://schemas.microsoft.com/office/drawing/2014/chart" uri="{C3380CC4-5D6E-409C-BE32-E72D297353CC}">
              <c16:uniqueId val="{0000001D-6CE5-4CD6-960F-2EEB80620F76}"/>
            </c:ext>
          </c:extLst>
        </c:ser>
        <c:ser>
          <c:idx val="5"/>
          <c:order val="5"/>
          <c:tx>
            <c:strRef>
              <c:f>Sheet!$Z$85</c:f>
              <c:strCache>
                <c:ptCount val="1"/>
                <c:pt idx="0">
                  <c:v>Mineralisatie
en uitloging</c:v>
                </c:pt>
              </c:strCache>
            </c:strRef>
          </c:tx>
          <c:spPr>
            <a:pattFill prst="pct70">
              <a:fgClr>
                <a:schemeClr val="accent2">
                  <a:lumMod val="50000"/>
                </a:schemeClr>
              </a:fgClr>
              <a:bgClr>
                <a:schemeClr val="bg1"/>
              </a:bgClr>
            </a:pattFill>
            <a:ln>
              <a:noFill/>
            </a:ln>
            <a:effectLst/>
          </c:spPr>
          <c:invertIfNegative val="0"/>
          <c:cat>
            <c:strRef>
              <c:f>Sheet!$T$88:$T$89</c:f>
              <c:strCache>
                <c:ptCount val="2"/>
                <c:pt idx="0">
                  <c:v>Zomer</c:v>
                </c:pt>
                <c:pt idx="1">
                  <c:v>Jaar</c:v>
                </c:pt>
              </c:strCache>
            </c:strRef>
          </c:cat>
          <c:val>
            <c:numRef>
              <c:f>Sheet!$Z$88:$Z$89</c:f>
              <c:numCache>
                <c:formatCode>0%</c:formatCode>
                <c:ptCount val="2"/>
                <c:pt idx="0">
                  <c:v>#N/A</c:v>
                </c:pt>
                <c:pt idx="1">
                  <c:v>#N/A</c:v>
                </c:pt>
              </c:numCache>
            </c:numRef>
          </c:val>
          <c:extLst>
            <c:ext xmlns:c16="http://schemas.microsoft.com/office/drawing/2014/chart" uri="{C3380CC4-5D6E-409C-BE32-E72D297353CC}">
              <c16:uniqueId val="{0000001F-6CE5-4CD6-960F-2EEB80620F76}"/>
            </c:ext>
          </c:extLst>
        </c:ser>
        <c:ser>
          <c:idx val="6"/>
          <c:order val="6"/>
          <c:tx>
            <c:strRef>
              <c:f>Sheet!$AA$85</c:f>
              <c:strCache>
                <c:ptCount val="1"/>
                <c:pt idx="0">
                  <c:v>Natuur-
gronden</c:v>
                </c:pt>
              </c:strCache>
            </c:strRef>
          </c:tx>
          <c:spPr>
            <a:solidFill>
              <a:schemeClr val="accent6">
                <a:lumMod val="75000"/>
              </a:schemeClr>
            </a:solidFill>
            <a:ln>
              <a:noFill/>
            </a:ln>
            <a:effectLst/>
          </c:spPr>
          <c:invertIfNegative val="0"/>
          <c:cat>
            <c:strRef>
              <c:f>Sheet!$T$88:$T$89</c:f>
              <c:strCache>
                <c:ptCount val="2"/>
                <c:pt idx="0">
                  <c:v>Zomer</c:v>
                </c:pt>
                <c:pt idx="1">
                  <c:v>Jaar</c:v>
                </c:pt>
              </c:strCache>
            </c:strRef>
          </c:cat>
          <c:val>
            <c:numRef>
              <c:f>Sheet!$AA$88:$AA$89</c:f>
              <c:numCache>
                <c:formatCode>0%</c:formatCode>
                <c:ptCount val="2"/>
                <c:pt idx="0">
                  <c:v>#N/A</c:v>
                </c:pt>
                <c:pt idx="1">
                  <c:v>#N/A</c:v>
                </c:pt>
              </c:numCache>
            </c:numRef>
          </c:val>
          <c:extLst>
            <c:ext xmlns:c16="http://schemas.microsoft.com/office/drawing/2014/chart" uri="{C3380CC4-5D6E-409C-BE32-E72D297353CC}">
              <c16:uniqueId val="{00000021-6CE5-4CD6-960F-2EEB80620F76}"/>
            </c:ext>
          </c:extLst>
        </c:ser>
        <c:ser>
          <c:idx val="7"/>
          <c:order val="7"/>
          <c:tx>
            <c:strRef>
              <c:f>Sheet!$AB$85</c:f>
              <c:strCache>
                <c:ptCount val="1"/>
                <c:pt idx="0">
                  <c:v>Directe kwel</c:v>
                </c:pt>
              </c:strCache>
            </c:strRef>
          </c:tx>
          <c:spPr>
            <a:solidFill>
              <a:schemeClr val="accent2">
                <a:lumMod val="40000"/>
                <a:lumOff val="60000"/>
              </a:schemeClr>
            </a:solidFill>
            <a:ln>
              <a:noFill/>
            </a:ln>
            <a:effectLst/>
          </c:spPr>
          <c:invertIfNegative val="0"/>
          <c:cat>
            <c:strRef>
              <c:f>Sheet!$T$88:$T$89</c:f>
              <c:strCache>
                <c:ptCount val="2"/>
                <c:pt idx="0">
                  <c:v>Zomer</c:v>
                </c:pt>
                <c:pt idx="1">
                  <c:v>Jaar</c:v>
                </c:pt>
              </c:strCache>
            </c:strRef>
          </c:cat>
          <c:val>
            <c:numRef>
              <c:f>Sheet!$AB$88:$AB$89</c:f>
              <c:numCache>
                <c:formatCode>0%</c:formatCode>
                <c:ptCount val="2"/>
                <c:pt idx="0">
                  <c:v>#N/A</c:v>
                </c:pt>
                <c:pt idx="1">
                  <c:v>#N/A</c:v>
                </c:pt>
              </c:numCache>
            </c:numRef>
          </c:val>
          <c:extLst>
            <c:ext xmlns:c16="http://schemas.microsoft.com/office/drawing/2014/chart" uri="{C3380CC4-5D6E-409C-BE32-E72D297353CC}">
              <c16:uniqueId val="{00000023-6CE5-4CD6-960F-2EEB80620F76}"/>
            </c:ext>
          </c:extLst>
        </c:ser>
        <c:ser>
          <c:idx val="8"/>
          <c:order val="8"/>
          <c:tx>
            <c:strRef>
              <c:f>Sheet!$AC$85</c:f>
              <c:strCache>
                <c:ptCount val="1"/>
                <c:pt idx="0">
                  <c:v>Erfaf-
spoeling</c:v>
                </c:pt>
              </c:strCache>
            </c:strRef>
          </c:tx>
          <c:spPr>
            <a:pattFill prst="horzBrick">
              <a:fgClr>
                <a:schemeClr val="accent2">
                  <a:lumMod val="50000"/>
                </a:schemeClr>
              </a:fgClr>
              <a:bgClr>
                <a:schemeClr val="bg1"/>
              </a:bgClr>
            </a:pattFill>
            <a:ln>
              <a:noFill/>
            </a:ln>
            <a:effectLst/>
          </c:spPr>
          <c:invertIfNegative val="0"/>
          <c:cat>
            <c:strRef>
              <c:f>Sheet!$T$88:$T$89</c:f>
              <c:strCache>
                <c:ptCount val="2"/>
                <c:pt idx="0">
                  <c:v>Zomer</c:v>
                </c:pt>
                <c:pt idx="1">
                  <c:v>Jaar</c:v>
                </c:pt>
              </c:strCache>
            </c:strRef>
          </c:cat>
          <c:val>
            <c:numRef>
              <c:f>Sheet!$AC$88:$AC$89</c:f>
              <c:numCache>
                <c:formatCode>0%</c:formatCode>
                <c:ptCount val="2"/>
                <c:pt idx="0">
                  <c:v>#N/A</c:v>
                </c:pt>
                <c:pt idx="1">
                  <c:v>#N/A</c:v>
                </c:pt>
              </c:numCache>
            </c:numRef>
          </c:val>
          <c:extLst>
            <c:ext xmlns:c16="http://schemas.microsoft.com/office/drawing/2014/chart" uri="{C3380CC4-5D6E-409C-BE32-E72D297353CC}">
              <c16:uniqueId val="{00000025-6CE5-4CD6-960F-2EEB80620F76}"/>
            </c:ext>
          </c:extLst>
        </c:ser>
        <c:ser>
          <c:idx val="9"/>
          <c:order val="9"/>
          <c:tx>
            <c:strRef>
              <c:f>Sheet!$AD$85</c:f>
              <c:strCache>
                <c:ptCount val="1"/>
                <c:pt idx="0">
                  <c:v>Glas-
tuinbouw</c:v>
                </c:pt>
              </c:strCache>
            </c:strRef>
          </c:tx>
          <c:spPr>
            <a:pattFill prst="dkDnDiag">
              <a:fgClr>
                <a:srgbClr val="FF0000"/>
              </a:fgClr>
              <a:bgClr>
                <a:schemeClr val="bg1"/>
              </a:bgClr>
            </a:pattFill>
            <a:ln>
              <a:noFill/>
            </a:ln>
            <a:effectLst/>
          </c:spPr>
          <c:invertIfNegative val="0"/>
          <c:cat>
            <c:strRef>
              <c:f>Sheet!$T$88:$T$89</c:f>
              <c:strCache>
                <c:ptCount val="2"/>
                <c:pt idx="0">
                  <c:v>Zomer</c:v>
                </c:pt>
                <c:pt idx="1">
                  <c:v>Jaar</c:v>
                </c:pt>
              </c:strCache>
            </c:strRef>
          </c:cat>
          <c:val>
            <c:numRef>
              <c:f>Sheet!$AD$88:$AD$89</c:f>
              <c:numCache>
                <c:formatCode>0%</c:formatCode>
                <c:ptCount val="2"/>
                <c:pt idx="0">
                  <c:v>#N/A</c:v>
                </c:pt>
                <c:pt idx="1">
                  <c:v>#N/A</c:v>
                </c:pt>
              </c:numCache>
            </c:numRef>
          </c:val>
          <c:extLst>
            <c:ext xmlns:c16="http://schemas.microsoft.com/office/drawing/2014/chart" uri="{C3380CC4-5D6E-409C-BE32-E72D297353CC}">
              <c16:uniqueId val="{00000027-6CE5-4CD6-960F-2EEB80620F76}"/>
            </c:ext>
          </c:extLst>
        </c:ser>
        <c:ser>
          <c:idx val="10"/>
          <c:order val="10"/>
          <c:tx>
            <c:strRef>
              <c:f>Sheet!$AE$85</c:f>
              <c:strCache>
                <c:ptCount val="1"/>
                <c:pt idx="0">
                  <c:v>Mee-
mesten</c:v>
                </c:pt>
              </c:strCache>
            </c:strRef>
          </c:tx>
          <c:spPr>
            <a:pattFill prst="dkUpDiag">
              <a:fgClr>
                <a:schemeClr val="accent2">
                  <a:lumMod val="50000"/>
                </a:schemeClr>
              </a:fgClr>
              <a:bgClr>
                <a:schemeClr val="bg1"/>
              </a:bgClr>
            </a:pattFill>
            <a:ln>
              <a:noFill/>
            </a:ln>
            <a:effectLst/>
          </c:spPr>
          <c:invertIfNegative val="0"/>
          <c:cat>
            <c:strRef>
              <c:f>Sheet!$T$88:$T$89</c:f>
              <c:strCache>
                <c:ptCount val="2"/>
                <c:pt idx="0">
                  <c:v>Zomer</c:v>
                </c:pt>
                <c:pt idx="1">
                  <c:v>Jaar</c:v>
                </c:pt>
              </c:strCache>
            </c:strRef>
          </c:cat>
          <c:val>
            <c:numRef>
              <c:f>Sheet!$AE$88:$AE$89</c:f>
              <c:numCache>
                <c:formatCode>0%</c:formatCode>
                <c:ptCount val="2"/>
                <c:pt idx="0">
                  <c:v>#N/A</c:v>
                </c:pt>
                <c:pt idx="1">
                  <c:v>#N/A</c:v>
                </c:pt>
              </c:numCache>
            </c:numRef>
          </c:val>
          <c:extLst>
            <c:ext xmlns:c16="http://schemas.microsoft.com/office/drawing/2014/chart" uri="{C3380CC4-5D6E-409C-BE32-E72D297353CC}">
              <c16:uniqueId val="{00000029-6CE5-4CD6-960F-2EEB80620F76}"/>
            </c:ext>
          </c:extLst>
        </c:ser>
        <c:ser>
          <c:idx val="11"/>
          <c:order val="11"/>
          <c:tx>
            <c:strRef>
              <c:f>Sheet!$AF$85</c:f>
              <c:strCache>
                <c:ptCount val="1"/>
                <c:pt idx="0">
                  <c:v>RWZI</c:v>
                </c:pt>
              </c:strCache>
            </c:strRef>
          </c:tx>
          <c:spPr>
            <a:pattFill prst="dkUpDiag">
              <a:fgClr>
                <a:srgbClr val="FF0000"/>
              </a:fgClr>
              <a:bgClr>
                <a:schemeClr val="bg1"/>
              </a:bgClr>
            </a:pattFill>
            <a:ln>
              <a:noFill/>
            </a:ln>
            <a:effectLst/>
          </c:spPr>
          <c:invertIfNegative val="0"/>
          <c:cat>
            <c:strRef>
              <c:f>Sheet!$T$88:$T$89</c:f>
              <c:strCache>
                <c:ptCount val="2"/>
                <c:pt idx="0">
                  <c:v>Zomer</c:v>
                </c:pt>
                <c:pt idx="1">
                  <c:v>Jaar</c:v>
                </c:pt>
              </c:strCache>
            </c:strRef>
          </c:cat>
          <c:val>
            <c:numRef>
              <c:f>Sheet!$AF$88:$AF$89</c:f>
              <c:numCache>
                <c:formatCode>0%</c:formatCode>
                <c:ptCount val="2"/>
                <c:pt idx="0">
                  <c:v>#N/A</c:v>
                </c:pt>
                <c:pt idx="1">
                  <c:v>#N/A</c:v>
                </c:pt>
              </c:numCache>
            </c:numRef>
          </c:val>
          <c:extLst>
            <c:ext xmlns:c16="http://schemas.microsoft.com/office/drawing/2014/chart" uri="{C3380CC4-5D6E-409C-BE32-E72D297353CC}">
              <c16:uniqueId val="{0000002B-6CE5-4CD6-960F-2EEB80620F76}"/>
            </c:ext>
          </c:extLst>
        </c:ser>
        <c:ser>
          <c:idx val="12"/>
          <c:order val="12"/>
          <c:tx>
            <c:strRef>
              <c:f>Sheet!$AG$85</c:f>
              <c:strCache>
                <c:ptCount val="1"/>
                <c:pt idx="0">
                  <c:v>Industrie</c:v>
                </c:pt>
              </c:strCache>
            </c:strRef>
          </c:tx>
          <c:spPr>
            <a:solidFill>
              <a:srgbClr val="FF0000"/>
            </a:solidFill>
            <a:ln>
              <a:noFill/>
            </a:ln>
            <a:effectLst/>
          </c:spPr>
          <c:invertIfNegative val="0"/>
          <c:cat>
            <c:strRef>
              <c:f>Sheet!$T$88:$T$89</c:f>
              <c:strCache>
                <c:ptCount val="2"/>
                <c:pt idx="0">
                  <c:v>Zomer</c:v>
                </c:pt>
                <c:pt idx="1">
                  <c:v>Jaar</c:v>
                </c:pt>
              </c:strCache>
            </c:strRef>
          </c:cat>
          <c:val>
            <c:numRef>
              <c:f>Sheet!$AG$88:$AG$89</c:f>
              <c:numCache>
                <c:formatCode>0%</c:formatCode>
                <c:ptCount val="2"/>
                <c:pt idx="0">
                  <c:v>#N/A</c:v>
                </c:pt>
                <c:pt idx="1">
                  <c:v>#N/A</c:v>
                </c:pt>
              </c:numCache>
            </c:numRef>
          </c:val>
          <c:extLst>
            <c:ext xmlns:c16="http://schemas.microsoft.com/office/drawing/2014/chart" uri="{C3380CC4-5D6E-409C-BE32-E72D297353CC}">
              <c16:uniqueId val="{0000002D-6CE5-4CD6-960F-2EEB80620F76}"/>
            </c:ext>
          </c:extLst>
        </c:ser>
        <c:ser>
          <c:idx val="13"/>
          <c:order val="13"/>
          <c:tx>
            <c:strRef>
              <c:f>Sheet!$AH$85</c:f>
              <c:strCache>
                <c:ptCount val="1"/>
                <c:pt idx="0">
                  <c:v>Depositie
open water</c:v>
                </c:pt>
              </c:strCache>
            </c:strRef>
          </c:tx>
          <c:spPr>
            <a:solidFill>
              <a:srgbClr val="FFFF00"/>
            </a:solidFill>
            <a:ln>
              <a:noFill/>
            </a:ln>
            <a:effectLst/>
          </c:spPr>
          <c:invertIfNegative val="0"/>
          <c:cat>
            <c:strRef>
              <c:f>Sheet!$T$88:$T$89</c:f>
              <c:strCache>
                <c:ptCount val="2"/>
                <c:pt idx="0">
                  <c:v>Zomer</c:v>
                </c:pt>
                <c:pt idx="1">
                  <c:v>Jaar</c:v>
                </c:pt>
              </c:strCache>
            </c:strRef>
          </c:cat>
          <c:val>
            <c:numRef>
              <c:f>Sheet!$AH$88:$AH$89</c:f>
              <c:numCache>
                <c:formatCode>0%</c:formatCode>
                <c:ptCount val="2"/>
                <c:pt idx="0">
                  <c:v>#N/A</c:v>
                </c:pt>
                <c:pt idx="1">
                  <c:v>#N/A</c:v>
                </c:pt>
              </c:numCache>
            </c:numRef>
          </c:val>
          <c:extLst>
            <c:ext xmlns:c16="http://schemas.microsoft.com/office/drawing/2014/chart" uri="{C3380CC4-5D6E-409C-BE32-E72D297353CC}">
              <c16:uniqueId val="{0000002F-6CE5-4CD6-960F-2EEB80620F76}"/>
            </c:ext>
          </c:extLst>
        </c:ser>
        <c:ser>
          <c:idx val="14"/>
          <c:order val="14"/>
          <c:tx>
            <c:strRef>
              <c:f>Sheet!$AI$85</c:f>
              <c:strCache>
                <c:ptCount val="1"/>
                <c:pt idx="0">
                  <c:v>Overstort</c:v>
                </c:pt>
              </c:strCache>
            </c:strRef>
          </c:tx>
          <c:spPr>
            <a:pattFill prst="dkDnDiag">
              <a:fgClr>
                <a:srgbClr val="0070C0"/>
              </a:fgClr>
              <a:bgClr>
                <a:schemeClr val="bg1"/>
              </a:bgClr>
            </a:pattFill>
            <a:ln>
              <a:noFill/>
            </a:ln>
            <a:effectLst/>
          </c:spPr>
          <c:invertIfNegative val="0"/>
          <c:cat>
            <c:strRef>
              <c:f>Sheet!$T$88:$T$89</c:f>
              <c:strCache>
                <c:ptCount val="2"/>
                <c:pt idx="0">
                  <c:v>Zomer</c:v>
                </c:pt>
                <c:pt idx="1">
                  <c:v>Jaar</c:v>
                </c:pt>
              </c:strCache>
            </c:strRef>
          </c:cat>
          <c:val>
            <c:numRef>
              <c:f>Sheet!$AI$88:$AI$89</c:f>
              <c:numCache>
                <c:formatCode>0%</c:formatCode>
                <c:ptCount val="2"/>
                <c:pt idx="0">
                  <c:v>#N/A</c:v>
                </c:pt>
                <c:pt idx="1">
                  <c:v>#N/A</c:v>
                </c:pt>
              </c:numCache>
            </c:numRef>
          </c:val>
          <c:extLst>
            <c:ext xmlns:c16="http://schemas.microsoft.com/office/drawing/2014/chart" uri="{C3380CC4-5D6E-409C-BE32-E72D297353CC}">
              <c16:uniqueId val="{00000031-6CE5-4CD6-960F-2EEB80620F76}"/>
            </c:ext>
          </c:extLst>
        </c:ser>
        <c:ser>
          <c:idx val="15"/>
          <c:order val="15"/>
          <c:tx>
            <c:strRef>
              <c:f>Sheet!$AJ$85</c:f>
              <c:strCache>
                <c:ptCount val="1"/>
                <c:pt idx="0">
                  <c:v>Regen
waterriolen</c:v>
                </c:pt>
              </c:strCache>
            </c:strRef>
          </c:tx>
          <c:spPr>
            <a:pattFill prst="dkUpDiag">
              <a:fgClr>
                <a:srgbClr val="0070C0"/>
              </a:fgClr>
              <a:bgClr>
                <a:schemeClr val="bg1"/>
              </a:bgClr>
            </a:pattFill>
            <a:ln>
              <a:noFill/>
            </a:ln>
            <a:effectLst/>
          </c:spPr>
          <c:invertIfNegative val="0"/>
          <c:cat>
            <c:strRef>
              <c:f>Sheet!$T$88:$T$89</c:f>
              <c:strCache>
                <c:ptCount val="2"/>
                <c:pt idx="0">
                  <c:v>Zomer</c:v>
                </c:pt>
                <c:pt idx="1">
                  <c:v>Jaar</c:v>
                </c:pt>
              </c:strCache>
            </c:strRef>
          </c:cat>
          <c:val>
            <c:numRef>
              <c:f>Sheet!$AJ$88:$AJ$89</c:f>
              <c:numCache>
                <c:formatCode>0%</c:formatCode>
                <c:ptCount val="2"/>
                <c:pt idx="0">
                  <c:v>#N/A</c:v>
                </c:pt>
                <c:pt idx="1">
                  <c:v>#N/A</c:v>
                </c:pt>
              </c:numCache>
            </c:numRef>
          </c:val>
          <c:extLst>
            <c:ext xmlns:c16="http://schemas.microsoft.com/office/drawing/2014/chart" uri="{C3380CC4-5D6E-409C-BE32-E72D297353CC}">
              <c16:uniqueId val="{00000033-6CE5-4CD6-960F-2EEB80620F76}"/>
            </c:ext>
          </c:extLst>
        </c:ser>
        <c:ser>
          <c:idx val="16"/>
          <c:order val="16"/>
          <c:tx>
            <c:strRef>
              <c:f>Sheet!$AK$85</c:f>
              <c:strCache>
                <c:ptCount val="1"/>
                <c:pt idx="0">
                  <c:v>Water-
vogels</c:v>
                </c:pt>
              </c:strCache>
            </c:strRef>
          </c:tx>
          <c:spPr>
            <a:solidFill>
              <a:schemeClr val="accent6">
                <a:lumMod val="40000"/>
                <a:lumOff val="60000"/>
              </a:schemeClr>
            </a:solidFill>
            <a:ln>
              <a:noFill/>
            </a:ln>
            <a:effectLst/>
          </c:spPr>
          <c:invertIfNegative val="0"/>
          <c:cat>
            <c:strRef>
              <c:f>Sheet!$T$88:$T$89</c:f>
              <c:strCache>
                <c:ptCount val="2"/>
                <c:pt idx="0">
                  <c:v>Zomer</c:v>
                </c:pt>
                <c:pt idx="1">
                  <c:v>Jaar</c:v>
                </c:pt>
              </c:strCache>
            </c:strRef>
          </c:cat>
          <c:val>
            <c:numRef>
              <c:f>Sheet!$AK$88:$AK$89</c:f>
              <c:numCache>
                <c:formatCode>0%</c:formatCode>
                <c:ptCount val="2"/>
                <c:pt idx="0">
                  <c:v>#N/A</c:v>
                </c:pt>
                <c:pt idx="1">
                  <c:v>#N/A</c:v>
                </c:pt>
              </c:numCache>
            </c:numRef>
          </c:val>
          <c:extLst>
            <c:ext xmlns:c16="http://schemas.microsoft.com/office/drawing/2014/chart" uri="{C3380CC4-5D6E-409C-BE32-E72D297353CC}">
              <c16:uniqueId val="{00000035-6CE5-4CD6-960F-2EEB80620F76}"/>
            </c:ext>
          </c:extLst>
        </c:ser>
        <c:ser>
          <c:idx val="17"/>
          <c:order val="17"/>
          <c:tx>
            <c:strRef>
              <c:f>Sheet!$AL$85</c:f>
              <c:strCache>
                <c:ptCount val="1"/>
                <c:pt idx="0">
                  <c:v>Binnen-
vaart</c:v>
                </c:pt>
              </c:strCache>
            </c:strRef>
          </c:tx>
          <c:spPr>
            <a:solidFill>
              <a:schemeClr val="accent5">
                <a:lumMod val="20000"/>
                <a:lumOff val="80000"/>
              </a:schemeClr>
            </a:solidFill>
            <a:ln>
              <a:noFill/>
            </a:ln>
            <a:effectLst/>
          </c:spPr>
          <c:invertIfNegative val="0"/>
          <c:cat>
            <c:strRef>
              <c:f>Sheet!$T$88:$T$89</c:f>
              <c:strCache>
                <c:ptCount val="2"/>
                <c:pt idx="0">
                  <c:v>Zomer</c:v>
                </c:pt>
                <c:pt idx="1">
                  <c:v>Jaar</c:v>
                </c:pt>
              </c:strCache>
            </c:strRef>
          </c:cat>
          <c:val>
            <c:numRef>
              <c:f>Sheet!$AL$88:$AL$89</c:f>
              <c:numCache>
                <c:formatCode>0%</c:formatCode>
                <c:ptCount val="2"/>
                <c:pt idx="0">
                  <c:v>#N/A</c:v>
                </c:pt>
                <c:pt idx="1">
                  <c:v>#N/A</c:v>
                </c:pt>
              </c:numCache>
            </c:numRef>
          </c:val>
          <c:extLst>
            <c:ext xmlns:c16="http://schemas.microsoft.com/office/drawing/2014/chart" uri="{C3380CC4-5D6E-409C-BE32-E72D297353CC}">
              <c16:uniqueId val="{00000037-6CE5-4CD6-960F-2EEB80620F76}"/>
            </c:ext>
          </c:extLst>
        </c:ser>
        <c:ser>
          <c:idx val="18"/>
          <c:order val="18"/>
          <c:tx>
            <c:strRef>
              <c:f>Sheet!$AM$85</c:f>
              <c:strCache>
                <c:ptCount val="1"/>
                <c:pt idx="0">
                  <c:v>Overige</c:v>
                </c:pt>
              </c:strCache>
            </c:strRef>
          </c:tx>
          <c:spPr>
            <a:solidFill>
              <a:schemeClr val="bg2"/>
            </a:solidFill>
            <a:ln>
              <a:noFill/>
            </a:ln>
            <a:effectLst/>
          </c:spPr>
          <c:invertIfNegative val="0"/>
          <c:cat>
            <c:strRef>
              <c:f>Sheet!$T$88:$T$89</c:f>
              <c:strCache>
                <c:ptCount val="2"/>
                <c:pt idx="0">
                  <c:v>Zomer</c:v>
                </c:pt>
                <c:pt idx="1">
                  <c:v>Jaar</c:v>
                </c:pt>
              </c:strCache>
            </c:strRef>
          </c:cat>
          <c:val>
            <c:numRef>
              <c:f>Sheet!$AM$88:$AM$89</c:f>
              <c:numCache>
                <c:formatCode>0%</c:formatCode>
                <c:ptCount val="2"/>
                <c:pt idx="0">
                  <c:v>#N/A</c:v>
                </c:pt>
                <c:pt idx="1">
                  <c:v>#N/A</c:v>
                </c:pt>
              </c:numCache>
            </c:numRef>
          </c:val>
          <c:extLst>
            <c:ext xmlns:c16="http://schemas.microsoft.com/office/drawing/2014/chart" uri="{C3380CC4-5D6E-409C-BE32-E72D297353CC}">
              <c16:uniqueId val="{00000039-6CE5-4CD6-960F-2EEB80620F76}"/>
            </c:ext>
          </c:extLst>
        </c:ser>
        <c:ser>
          <c:idx val="19"/>
          <c:order val="19"/>
          <c:tx>
            <c:strRef>
              <c:f>Sheet!$AN$85</c:f>
              <c:strCache>
                <c:ptCount val="1"/>
                <c:pt idx="0">
                  <c:v>Inlaat Rijkswater</c:v>
                </c:pt>
              </c:strCache>
            </c:strRef>
          </c:tx>
          <c:spPr>
            <a:solidFill>
              <a:schemeClr val="accent4"/>
            </a:solidFill>
            <a:ln>
              <a:noFill/>
            </a:ln>
            <a:effectLst/>
          </c:spPr>
          <c:invertIfNegative val="0"/>
          <c:cat>
            <c:strRef>
              <c:f>Sheet!$T$88:$T$89</c:f>
              <c:strCache>
                <c:ptCount val="2"/>
                <c:pt idx="0">
                  <c:v>Zomer</c:v>
                </c:pt>
                <c:pt idx="1">
                  <c:v>Jaar</c:v>
                </c:pt>
              </c:strCache>
            </c:strRef>
          </c:cat>
          <c:val>
            <c:numRef>
              <c:f>Sheet!$AN$88:$AN$89</c:f>
              <c:numCache>
                <c:formatCode>0%</c:formatCode>
                <c:ptCount val="2"/>
                <c:pt idx="0">
                  <c:v>#N/A</c:v>
                </c:pt>
                <c:pt idx="1">
                  <c:v>#N/A</c:v>
                </c:pt>
              </c:numCache>
            </c:numRef>
          </c:val>
          <c:extLst>
            <c:ext xmlns:c16="http://schemas.microsoft.com/office/drawing/2014/chart" uri="{C3380CC4-5D6E-409C-BE32-E72D297353CC}">
              <c16:uniqueId val="{0000003B-6CE5-4CD6-960F-2EEB80620F76}"/>
            </c:ext>
          </c:extLst>
        </c:ser>
        <c:dLbls>
          <c:showLegendKey val="0"/>
          <c:showVal val="0"/>
          <c:showCatName val="0"/>
          <c:showSerName val="0"/>
          <c:showPercent val="0"/>
          <c:showBubbleSize val="0"/>
        </c:dLbls>
        <c:gapWidth val="150"/>
        <c:overlap val="100"/>
        <c:axId val="142744144"/>
        <c:axId val="142727824"/>
      </c:barChart>
      <c:catAx>
        <c:axId val="14274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nl-NL"/>
          </a:p>
        </c:txPr>
        <c:crossAx val="142727824"/>
        <c:crosses val="autoZero"/>
        <c:auto val="1"/>
        <c:lblAlgn val="ctr"/>
        <c:lblOffset val="100"/>
        <c:noMultiLvlLbl val="0"/>
      </c:catAx>
      <c:valAx>
        <c:axId val="1427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nl-NL"/>
          </a:p>
        </c:txPr>
        <c:crossAx val="142744144"/>
        <c:crosses val="autoZero"/>
        <c:crossBetween val="between"/>
      </c:valAx>
    </c:plotArea>
    <c:plotVisOnly val="1"/>
    <c:dispBlanksAs val="gap"/>
    <c:showDLblsOverMax val="0"/>
    <c:extLst/>
  </c:chart>
  <c:txPr>
    <a:bodyPr/>
    <a:lstStyle/>
    <a:p>
      <a:pPr>
        <a:defRPr sz="1200"/>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List" dx="26" fmlaLink="$R$1" fmlaRange="WLs!$C$4:$C$23" noThreeD="1" sel="20" val="0"/>
</file>

<file path=xl/ctrlProps/ctrlProp2.xml><?xml version="1.0" encoding="utf-8"?>
<formControlPr xmlns="http://schemas.microsoft.com/office/spreadsheetml/2009/9/main" objectType="List" dx="26" fmlaLink="$R$1" fmlaRange="WLs!$C$4:$C$23" noThreeD="1" sel="20" val="0"/>
</file>

<file path=xl/ctrlProps/ctrlProp3.xml><?xml version="1.0" encoding="utf-8"?>
<formControlPr xmlns="http://schemas.microsoft.com/office/spreadsheetml/2009/9/main" objectType="List" dx="26" fmlaLink="$R$1" fmlaRange="WLs!$C$4:$C$23" noThreeD="1" sel="20" val="0"/>
</file>

<file path=xl/ctrlProps/ctrlProp4.xml><?xml version="1.0" encoding="utf-8"?>
<formControlPr xmlns="http://schemas.microsoft.com/office/spreadsheetml/2009/9/main" objectType="List" dx="26" fmlaLink="$R$1" fmlaRange="WLs!$C$4:$C$23" noThreeD="1" sel="20" val="0"/>
</file>

<file path=xl/ctrlProps/ctrlProp5.xml><?xml version="1.0" encoding="utf-8"?>
<formControlPr xmlns="http://schemas.microsoft.com/office/spreadsheetml/2009/9/main" objectType="List" dx="26" fmlaLink="$R$1" fmlaRange="WLs!$C$4:$C$23" noThreeD="1" sel="20" val="0"/>
</file>

<file path=xl/ctrlProps/ctrlProp6.xml><?xml version="1.0" encoding="utf-8"?>
<formControlPr xmlns="http://schemas.microsoft.com/office/spreadsheetml/2009/9/main" objectType="List" dx="26" fmlaLink="$R$1" fmlaRange="WLs!$C$4:$C$23" noThreeD="1" sel="20" val="0"/>
</file>

<file path=xl/ctrlProps/ctrlProp7.xml><?xml version="1.0" encoding="utf-8"?>
<formControlPr xmlns="http://schemas.microsoft.com/office/spreadsheetml/2009/9/main" objectType="List" dx="26" fmlaLink="$R$1" fmlaRange="WLs!$C$4:$C$23" noThreeD="1" sel="20" val="0"/>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35.png"/><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0</xdr:rowOff>
    </xdr:from>
    <xdr:to>
      <xdr:col>7</xdr:col>
      <xdr:colOff>0</xdr:colOff>
      <xdr:row>45</xdr:row>
      <xdr:rowOff>0</xdr:rowOff>
    </xdr:to>
    <xdr:graphicFrame macro="">
      <xdr:nvGraphicFramePr>
        <xdr:cNvPr id="12" name="Grafiek 11">
          <a:extLst>
            <a:ext uri="{FF2B5EF4-FFF2-40B4-BE49-F238E27FC236}">
              <a16:creationId xmlns:a16="http://schemas.microsoft.com/office/drawing/2014/main" id="{2A8A70FA-9BF3-4072-AA33-8862A6427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27</xdr:row>
      <xdr:rowOff>0</xdr:rowOff>
    </xdr:from>
    <xdr:to>
      <xdr:col>14</xdr:col>
      <xdr:colOff>1</xdr:colOff>
      <xdr:row>45</xdr:row>
      <xdr:rowOff>0</xdr:rowOff>
    </xdr:to>
    <xdr:graphicFrame macro="">
      <xdr:nvGraphicFramePr>
        <xdr:cNvPr id="19" name="Grafiek 18">
          <a:extLst>
            <a:ext uri="{FF2B5EF4-FFF2-40B4-BE49-F238E27FC236}">
              <a16:creationId xmlns:a16="http://schemas.microsoft.com/office/drawing/2014/main" id="{3337F5CD-8D11-4E3A-91A0-F0833D6E6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0</xdr:rowOff>
    </xdr:from>
    <xdr:to>
      <xdr:col>6</xdr:col>
      <xdr:colOff>695324</xdr:colOff>
      <xdr:row>63</xdr:row>
      <xdr:rowOff>0</xdr:rowOff>
    </xdr:to>
    <xdr:graphicFrame macro="">
      <xdr:nvGraphicFramePr>
        <xdr:cNvPr id="21" name="Grafiek 20">
          <a:extLst>
            <a:ext uri="{FF2B5EF4-FFF2-40B4-BE49-F238E27FC236}">
              <a16:creationId xmlns:a16="http://schemas.microsoft.com/office/drawing/2014/main" id="{28EE7EFF-078E-48CE-8C7C-869BD0534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695324</xdr:colOff>
      <xdr:row>45</xdr:row>
      <xdr:rowOff>0</xdr:rowOff>
    </xdr:from>
    <xdr:to>
      <xdr:col>13</xdr:col>
      <xdr:colOff>695324</xdr:colOff>
      <xdr:row>63</xdr:row>
      <xdr:rowOff>0</xdr:rowOff>
    </xdr:to>
    <xdr:graphicFrame macro="">
      <xdr:nvGraphicFramePr>
        <xdr:cNvPr id="23" name="Grafiek 22">
          <a:extLst>
            <a:ext uri="{FF2B5EF4-FFF2-40B4-BE49-F238E27FC236}">
              <a16:creationId xmlns:a16="http://schemas.microsoft.com/office/drawing/2014/main" id="{F68AD249-A5A5-4BBB-B5B5-7C357F1F2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63</xdr:row>
      <xdr:rowOff>0</xdr:rowOff>
    </xdr:from>
    <xdr:to>
      <xdr:col>6</xdr:col>
      <xdr:colOff>695324</xdr:colOff>
      <xdr:row>81</xdr:row>
      <xdr:rowOff>0</xdr:rowOff>
    </xdr:to>
    <xdr:graphicFrame macro="">
      <xdr:nvGraphicFramePr>
        <xdr:cNvPr id="47" name="Grafiek 46">
          <a:extLst>
            <a:ext uri="{FF2B5EF4-FFF2-40B4-BE49-F238E27FC236}">
              <a16:creationId xmlns:a16="http://schemas.microsoft.com/office/drawing/2014/main" id="{8EA9743E-0588-4F75-8CF1-FD2A46AC4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695324</xdr:colOff>
      <xdr:row>63</xdr:row>
      <xdr:rowOff>0</xdr:rowOff>
    </xdr:from>
    <xdr:to>
      <xdr:col>13</xdr:col>
      <xdr:colOff>695324</xdr:colOff>
      <xdr:row>81</xdr:row>
      <xdr:rowOff>0</xdr:rowOff>
    </xdr:to>
    <xdr:graphicFrame macro="">
      <xdr:nvGraphicFramePr>
        <xdr:cNvPr id="49" name="Grafiek 48">
          <a:extLst>
            <a:ext uri="{FF2B5EF4-FFF2-40B4-BE49-F238E27FC236}">
              <a16:creationId xmlns:a16="http://schemas.microsoft.com/office/drawing/2014/main" id="{F0A8C499-1901-45C0-A7A3-6B3344A5F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5715</xdr:colOff>
      <xdr:row>2</xdr:row>
      <xdr:rowOff>0</xdr:rowOff>
    </xdr:from>
    <xdr:to>
      <xdr:col>14</xdr:col>
      <xdr:colOff>0</xdr:colOff>
      <xdr:row>25</xdr:row>
      <xdr:rowOff>7197</xdr:rowOff>
    </xdr:to>
    <xdr:graphicFrame macro="">
      <xdr:nvGraphicFramePr>
        <xdr:cNvPr id="10" name="Grafiek 9">
          <a:extLst>
            <a:ext uri="{FF2B5EF4-FFF2-40B4-BE49-F238E27FC236}">
              <a16:creationId xmlns:a16="http://schemas.microsoft.com/office/drawing/2014/main" id="{5D92C966-524C-48ED-B5F9-3F43D9997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30480</xdr:colOff>
      <xdr:row>4</xdr:row>
      <xdr:rowOff>108903</xdr:rowOff>
    </xdr:from>
    <xdr:to>
      <xdr:col>3</xdr:col>
      <xdr:colOff>47625</xdr:colOff>
      <xdr:row>21</xdr:row>
      <xdr:rowOff>23178</xdr:rowOff>
    </xdr:to>
    <xdr:cxnSp macro="">
      <xdr:nvCxnSpPr>
        <xdr:cNvPr id="27" name="Rechte verbindingslijn 26">
          <a:extLst>
            <a:ext uri="{FF2B5EF4-FFF2-40B4-BE49-F238E27FC236}">
              <a16:creationId xmlns:a16="http://schemas.microsoft.com/office/drawing/2014/main" id="{F119DF26-BE50-0D06-FA62-7FB71DBD5F16}"/>
            </a:ext>
          </a:extLst>
        </xdr:cNvPr>
        <xdr:cNvCxnSpPr/>
      </xdr:nvCxnSpPr>
      <xdr:spPr>
        <a:xfrm>
          <a:off x="2125980" y="934403"/>
          <a:ext cx="17145" cy="3017838"/>
        </a:xfrm>
        <a:prstGeom prst="line">
          <a:avLst/>
        </a:prstGeom>
        <a:ln>
          <a:solidFill>
            <a:schemeClr val="bg2">
              <a:lumMod val="50000"/>
            </a:schemeClr>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316865</xdr:colOff>
      <xdr:row>4</xdr:row>
      <xdr:rowOff>129540</xdr:rowOff>
    </xdr:from>
    <xdr:to>
      <xdr:col>6</xdr:col>
      <xdr:colOff>328295</xdr:colOff>
      <xdr:row>21</xdr:row>
      <xdr:rowOff>28575</xdr:rowOff>
    </xdr:to>
    <xdr:cxnSp macro="">
      <xdr:nvCxnSpPr>
        <xdr:cNvPr id="11" name="Rechte verbindingslijn 10">
          <a:extLst>
            <a:ext uri="{FF2B5EF4-FFF2-40B4-BE49-F238E27FC236}">
              <a16:creationId xmlns:a16="http://schemas.microsoft.com/office/drawing/2014/main" id="{97C1551A-DB7B-41D4-B905-DB27C4F1FB80}"/>
            </a:ext>
          </a:extLst>
        </xdr:cNvPr>
        <xdr:cNvCxnSpPr/>
      </xdr:nvCxnSpPr>
      <xdr:spPr>
        <a:xfrm>
          <a:off x="4507865" y="955040"/>
          <a:ext cx="11430" cy="3002598"/>
        </a:xfrm>
        <a:prstGeom prst="line">
          <a:avLst/>
        </a:prstGeom>
        <a:ln>
          <a:solidFill>
            <a:schemeClr val="bg2">
              <a:lumMod val="50000"/>
            </a:schemeClr>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608012</xdr:colOff>
      <xdr:row>4</xdr:row>
      <xdr:rowOff>121920</xdr:rowOff>
    </xdr:from>
    <xdr:to>
      <xdr:col>9</xdr:col>
      <xdr:colOff>620712</xdr:colOff>
      <xdr:row>21</xdr:row>
      <xdr:rowOff>15240</xdr:rowOff>
    </xdr:to>
    <xdr:cxnSp macro="">
      <xdr:nvCxnSpPr>
        <xdr:cNvPr id="13" name="Rechte verbindingslijn 12">
          <a:extLst>
            <a:ext uri="{FF2B5EF4-FFF2-40B4-BE49-F238E27FC236}">
              <a16:creationId xmlns:a16="http://schemas.microsoft.com/office/drawing/2014/main" id="{1AEA6599-5E28-4ADB-91C8-88ED4DE0EEA3}"/>
            </a:ext>
          </a:extLst>
        </xdr:cNvPr>
        <xdr:cNvCxnSpPr/>
      </xdr:nvCxnSpPr>
      <xdr:spPr>
        <a:xfrm>
          <a:off x="6894512" y="947420"/>
          <a:ext cx="12700" cy="2996883"/>
        </a:xfrm>
        <a:prstGeom prst="line">
          <a:avLst/>
        </a:prstGeom>
        <a:ln>
          <a:solidFill>
            <a:schemeClr val="bg2">
              <a:lumMod val="50000"/>
            </a:schemeClr>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181928</xdr:colOff>
      <xdr:row>4</xdr:row>
      <xdr:rowOff>129540</xdr:rowOff>
    </xdr:from>
    <xdr:to>
      <xdr:col>13</xdr:col>
      <xdr:colOff>197168</xdr:colOff>
      <xdr:row>21</xdr:row>
      <xdr:rowOff>15240</xdr:rowOff>
    </xdr:to>
    <xdr:cxnSp macro="">
      <xdr:nvCxnSpPr>
        <xdr:cNvPr id="14" name="Rechte verbindingslijn 13">
          <a:extLst>
            <a:ext uri="{FF2B5EF4-FFF2-40B4-BE49-F238E27FC236}">
              <a16:creationId xmlns:a16="http://schemas.microsoft.com/office/drawing/2014/main" id="{0571ACE5-B7DC-4B5A-8DC9-C5F78070EA10}"/>
            </a:ext>
          </a:extLst>
        </xdr:cNvPr>
        <xdr:cNvCxnSpPr/>
      </xdr:nvCxnSpPr>
      <xdr:spPr>
        <a:xfrm>
          <a:off x="9262428" y="955040"/>
          <a:ext cx="15240" cy="2989263"/>
        </a:xfrm>
        <a:prstGeom prst="line">
          <a:avLst/>
        </a:prstGeom>
        <a:ln>
          <a:solidFill>
            <a:schemeClr val="bg2">
              <a:lumMod val="50000"/>
            </a:schemeClr>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84</xdr:row>
      <xdr:rowOff>0</xdr:rowOff>
    </xdr:from>
    <xdr:to>
      <xdr:col>5</xdr:col>
      <xdr:colOff>0</xdr:colOff>
      <xdr:row>115</xdr:row>
      <xdr:rowOff>0</xdr:rowOff>
    </xdr:to>
    <xdr:graphicFrame macro="">
      <xdr:nvGraphicFramePr>
        <xdr:cNvPr id="6" name="Grafiek 5">
          <a:extLst>
            <a:ext uri="{FF2B5EF4-FFF2-40B4-BE49-F238E27FC236}">
              <a16:creationId xmlns:a16="http://schemas.microsoft.com/office/drawing/2014/main" id="{3F542B69-ABDE-41C8-B13C-9315834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xdr:colOff>
      <xdr:row>84</xdr:row>
      <xdr:rowOff>0</xdr:rowOff>
    </xdr:from>
    <xdr:to>
      <xdr:col>10</xdr:col>
      <xdr:colOff>1</xdr:colOff>
      <xdr:row>115</xdr:row>
      <xdr:rowOff>0</xdr:rowOff>
    </xdr:to>
    <xdr:graphicFrame macro="">
      <xdr:nvGraphicFramePr>
        <xdr:cNvPr id="15" name="Grafiek 14">
          <a:extLst>
            <a:ext uri="{FF2B5EF4-FFF2-40B4-BE49-F238E27FC236}">
              <a16:creationId xmlns:a16="http://schemas.microsoft.com/office/drawing/2014/main" id="{141A4739-7FF5-49FD-B75B-BFA0A83F5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359834</xdr:colOff>
      <xdr:row>89</xdr:row>
      <xdr:rowOff>164463</xdr:rowOff>
    </xdr:from>
    <xdr:to>
      <xdr:col>49</xdr:col>
      <xdr:colOff>303108</xdr:colOff>
      <xdr:row>150</xdr:row>
      <xdr:rowOff>131869</xdr:rowOff>
    </xdr:to>
    <xdr:graphicFrame macro="">
      <xdr:nvGraphicFramePr>
        <xdr:cNvPr id="17" name="Grafiek 16">
          <a:extLst>
            <a:ext uri="{FF2B5EF4-FFF2-40B4-BE49-F238E27FC236}">
              <a16:creationId xmlns:a16="http://schemas.microsoft.com/office/drawing/2014/main" id="{F612561E-7EF8-4097-ADFE-77771D76D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220345</xdr:colOff>
      <xdr:row>92</xdr:row>
      <xdr:rowOff>167846</xdr:rowOff>
    </xdr:from>
    <xdr:to>
      <xdr:col>10</xdr:col>
      <xdr:colOff>551391</xdr:colOff>
      <xdr:row>112</xdr:row>
      <xdr:rowOff>171963</xdr:rowOff>
    </xdr:to>
    <xdr:pic>
      <xdr:nvPicPr>
        <xdr:cNvPr id="22" name="Afbeelding 21">
          <a:extLst>
            <a:ext uri="{FF2B5EF4-FFF2-40B4-BE49-F238E27FC236}">
              <a16:creationId xmlns:a16="http://schemas.microsoft.com/office/drawing/2014/main" id="{7B58CCCB-B9C1-2F80-BCDD-650F02263DCC}"/>
            </a:ext>
          </a:extLst>
        </xdr:cNvPr>
        <xdr:cNvPicPr>
          <a:picLocks noChangeAspect="1"/>
        </xdr:cNvPicPr>
      </xdr:nvPicPr>
      <xdr:blipFill>
        <a:blip xmlns:r="http://schemas.openxmlformats.org/officeDocument/2006/relationships" r:embed="rId11"/>
        <a:stretch>
          <a:fillRect/>
        </a:stretch>
      </xdr:blipFill>
      <xdr:spPr>
        <a:xfrm>
          <a:off x="7226512" y="16942429"/>
          <a:ext cx="340571" cy="35986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xdr:row>
          <xdr:rowOff>0</xdr:rowOff>
        </xdr:from>
        <xdr:to>
          <xdr:col>18</xdr:col>
          <xdr:colOff>0</xdr:colOff>
          <xdr:row>21</xdr:row>
          <xdr:rowOff>0</xdr:rowOff>
        </xdr:to>
        <xdr:sp macro="" textlink="">
          <xdr:nvSpPr>
            <xdr:cNvPr id="2066" name="List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26</xdr:row>
          <xdr:rowOff>0</xdr:rowOff>
        </xdr:from>
        <xdr:to>
          <xdr:col>18</xdr:col>
          <xdr:colOff>0</xdr:colOff>
          <xdr:row>47</xdr:row>
          <xdr:rowOff>99060</xdr:rowOff>
        </xdr:to>
        <xdr:sp macro="" textlink="">
          <xdr:nvSpPr>
            <xdr:cNvPr id="2070" name="List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82</xdr:row>
          <xdr:rowOff>0</xdr:rowOff>
        </xdr:from>
        <xdr:to>
          <xdr:col>18</xdr:col>
          <xdr:colOff>15240</xdr:colOff>
          <xdr:row>103</xdr:row>
          <xdr:rowOff>99060</xdr:rowOff>
        </xdr:to>
        <xdr:sp macro="" textlink="">
          <xdr:nvSpPr>
            <xdr:cNvPr id="2071" name="List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150</xdr:row>
          <xdr:rowOff>0</xdr:rowOff>
        </xdr:from>
        <xdr:to>
          <xdr:col>18</xdr:col>
          <xdr:colOff>0</xdr:colOff>
          <xdr:row>151</xdr:row>
          <xdr:rowOff>1173480</xdr:rowOff>
        </xdr:to>
        <xdr:sp macro="" textlink="">
          <xdr:nvSpPr>
            <xdr:cNvPr id="2072" name="List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139488</xdr:colOff>
      <xdr:row>23</xdr:row>
      <xdr:rowOff>99060</xdr:rowOff>
    </xdr:from>
    <xdr:to>
      <xdr:col>9</xdr:col>
      <xdr:colOff>372322</xdr:colOff>
      <xdr:row>23</xdr:row>
      <xdr:rowOff>146262</xdr:rowOff>
    </xdr:to>
    <xdr:sp macro="" textlink="">
      <xdr:nvSpPr>
        <xdr:cNvPr id="25" name="Rechthoek 24">
          <a:extLst>
            <a:ext uri="{FF2B5EF4-FFF2-40B4-BE49-F238E27FC236}">
              <a16:creationId xmlns:a16="http://schemas.microsoft.com/office/drawing/2014/main" id="{C487F04E-0984-90E9-7E07-BC11DFF62A77}"/>
            </a:ext>
          </a:extLst>
        </xdr:cNvPr>
        <xdr:cNvSpPr/>
      </xdr:nvSpPr>
      <xdr:spPr>
        <a:xfrm>
          <a:off x="6447155" y="4342977"/>
          <a:ext cx="232834" cy="47202"/>
        </a:xfrm>
        <a:prstGeom prst="rect">
          <a:avLst/>
        </a:prstGeom>
        <a:solidFill>
          <a:srgbClr val="FF0000"/>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mc:AlternateContent xmlns:mc="http://schemas.openxmlformats.org/markup-compatibility/2006">
    <mc:Choice xmlns:a14="http://schemas.microsoft.com/office/drawing/2010/main" Requires="a14">
      <xdr:twoCellAnchor editAs="oneCell">
        <xdr:from>
          <xdr:col>15</xdr:col>
          <xdr:colOff>0</xdr:colOff>
          <xdr:row>153</xdr:row>
          <xdr:rowOff>2491740</xdr:rowOff>
        </xdr:from>
        <xdr:to>
          <xdr:col>18</xdr:col>
          <xdr:colOff>0</xdr:colOff>
          <xdr:row>155</xdr:row>
          <xdr:rowOff>1821180</xdr:rowOff>
        </xdr:to>
        <xdr:sp macro="" textlink="">
          <xdr:nvSpPr>
            <xdr:cNvPr id="2074" name="List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116</xdr:row>
      <xdr:rowOff>0</xdr:rowOff>
    </xdr:from>
    <xdr:to>
      <xdr:col>5</xdr:col>
      <xdr:colOff>0</xdr:colOff>
      <xdr:row>147</xdr:row>
      <xdr:rowOff>0</xdr:rowOff>
    </xdr:to>
    <xdr:graphicFrame macro="">
      <xdr:nvGraphicFramePr>
        <xdr:cNvPr id="3" name="Grafiek 2">
          <a:extLst>
            <a:ext uri="{FF2B5EF4-FFF2-40B4-BE49-F238E27FC236}">
              <a16:creationId xmlns:a16="http://schemas.microsoft.com/office/drawing/2014/main" id="{C4E6EF1F-01AE-43C4-A6A5-2FE7BD5A3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116</xdr:row>
      <xdr:rowOff>0</xdr:rowOff>
    </xdr:from>
    <xdr:to>
      <xdr:col>10</xdr:col>
      <xdr:colOff>0</xdr:colOff>
      <xdr:row>147</xdr:row>
      <xdr:rowOff>0</xdr:rowOff>
    </xdr:to>
    <xdr:graphicFrame macro="">
      <xdr:nvGraphicFramePr>
        <xdr:cNvPr id="5" name="Grafiek 4">
          <a:extLst>
            <a:ext uri="{FF2B5EF4-FFF2-40B4-BE49-F238E27FC236}">
              <a16:creationId xmlns:a16="http://schemas.microsoft.com/office/drawing/2014/main" id="{2CCE1C9C-F8B7-4030-8DC7-2D45737F4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10</xdr:col>
      <xdr:colOff>238646</xdr:colOff>
      <xdr:row>124</xdr:row>
      <xdr:rowOff>169371</xdr:rowOff>
    </xdr:from>
    <xdr:to>
      <xdr:col>10</xdr:col>
      <xdr:colOff>586837</xdr:colOff>
      <xdr:row>144</xdr:row>
      <xdr:rowOff>173487</xdr:rowOff>
    </xdr:to>
    <xdr:pic>
      <xdr:nvPicPr>
        <xdr:cNvPr id="7" name="Afbeelding 6">
          <a:extLst>
            <a:ext uri="{FF2B5EF4-FFF2-40B4-BE49-F238E27FC236}">
              <a16:creationId xmlns:a16="http://schemas.microsoft.com/office/drawing/2014/main" id="{FA4FD3DF-69E5-479A-9870-CE453240B76C}"/>
            </a:ext>
          </a:extLst>
        </xdr:cNvPr>
        <xdr:cNvPicPr>
          <a:picLocks noChangeAspect="1"/>
        </xdr:cNvPicPr>
      </xdr:nvPicPr>
      <xdr:blipFill>
        <a:blip xmlns:r="http://schemas.openxmlformats.org/officeDocument/2006/relationships" r:embed="rId11"/>
        <a:stretch>
          <a:fillRect/>
        </a:stretch>
      </xdr:blipFill>
      <xdr:spPr>
        <a:xfrm>
          <a:off x="7278487" y="22873507"/>
          <a:ext cx="342476" cy="36409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0</xdr:colOff>
          <xdr:row>116</xdr:row>
          <xdr:rowOff>0</xdr:rowOff>
        </xdr:from>
        <xdr:to>
          <xdr:col>18</xdr:col>
          <xdr:colOff>0</xdr:colOff>
          <xdr:row>137</xdr:row>
          <xdr:rowOff>121920</xdr:rowOff>
        </xdr:to>
        <xdr:sp macro="" textlink="">
          <xdr:nvSpPr>
            <xdr:cNvPr id="2363" name="List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312420</xdr:colOff>
          <xdr:row>158</xdr:row>
          <xdr:rowOff>22860</xdr:rowOff>
        </xdr:from>
        <xdr:to>
          <xdr:col>19</xdr:col>
          <xdr:colOff>7620</xdr:colOff>
          <xdr:row>161</xdr:row>
          <xdr:rowOff>1402080</xdr:rowOff>
        </xdr:to>
        <xdr:sp macro="" textlink="">
          <xdr:nvSpPr>
            <xdr:cNvPr id="2364" name="List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3">
  <rv s="0">
    <v>0</v>
    <v>4</v>
  </rv>
  <rv s="0">
    <v>1</v>
    <v>4</v>
  </rv>
  <rv s="0">
    <v>2</v>
    <v>4</v>
  </rv>
  <rv s="0">
    <v>3</v>
    <v>4</v>
  </rv>
  <rv s="0">
    <v>4</v>
    <v>4</v>
  </rv>
  <rv s="0">
    <v>5</v>
    <v>4</v>
  </rv>
  <rv s="0">
    <v>6</v>
    <v>4</v>
  </rv>
  <rv s="0">
    <v>7</v>
    <v>4</v>
  </rv>
  <rv s="0">
    <v>8</v>
    <v>4</v>
  </rv>
  <rv s="0">
    <v>9</v>
    <v>5</v>
  </rv>
  <rv s="0">
    <v>10</v>
    <v>5</v>
  </rv>
  <rv s="0">
    <v>11</v>
    <v>5</v>
  </rv>
  <rv s="0">
    <v>12</v>
    <v>5</v>
  </rv>
  <rv s="0">
    <v>13</v>
    <v>5</v>
  </rv>
  <rv s="0">
    <v>14</v>
    <v>5</v>
  </rv>
  <rv s="0">
    <v>15</v>
    <v>5</v>
  </rv>
  <rv s="0">
    <v>16</v>
    <v>5</v>
  </rv>
  <rv s="0">
    <v>0</v>
    <v>5</v>
  </rv>
  <rv s="0">
    <v>1</v>
    <v>5</v>
  </rv>
  <rv s="0">
    <v>2</v>
    <v>5</v>
  </rv>
  <rv s="0">
    <v>4</v>
    <v>5</v>
  </rv>
  <rv s="0">
    <v>5</v>
    <v>5</v>
  </rv>
  <rv s="0">
    <v>6</v>
    <v>5</v>
  </rv>
  <rv s="0">
    <v>7</v>
    <v>5</v>
  </rv>
  <rv s="0">
    <v>17</v>
    <v>5</v>
  </rv>
  <rv s="0">
    <v>18</v>
    <v>5</v>
  </rv>
  <rv s="0">
    <v>19</v>
    <v>5</v>
  </rv>
  <rv s="0">
    <v>20</v>
    <v>5</v>
  </rv>
  <rv s="0">
    <v>3</v>
    <v>5</v>
  </rv>
  <rv s="0">
    <v>21</v>
    <v>5</v>
  </rv>
  <rv s="0">
    <v>22</v>
    <v>5</v>
  </rv>
  <rv s="0">
    <v>8</v>
    <v>5</v>
  </rv>
  <rv s="0">
    <v>23</v>
    <v>5</v>
  </rv>
  <rv s="0">
    <v>24</v>
    <v>5</v>
  </rv>
  <rv s="0">
    <v>25</v>
    <v>5</v>
  </rv>
  <rv s="0">
    <v>26</v>
    <v>5</v>
  </rv>
  <rv s="0">
    <v>27</v>
    <v>5</v>
  </rv>
  <rv s="0">
    <v>28</v>
    <v>5</v>
  </rv>
  <rv s="0">
    <v>29</v>
    <v>5</v>
  </rv>
  <rv s="0">
    <v>30</v>
    <v>5</v>
  </rv>
  <rv s="0">
    <v>31</v>
    <v>5</v>
  </rv>
  <rv s="0">
    <v>32</v>
    <v>5</v>
  </rv>
  <rv s="0">
    <v>33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ichValueRel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1403-C29A-4B97-811B-9562EE6EFE5C}">
  <dimension ref="A1:C34"/>
  <sheetViews>
    <sheetView tabSelected="1" workbookViewId="0">
      <pane ySplit="5" topLeftCell="A6" activePane="bottomLeft" state="frozen"/>
      <selection pane="bottomLeft" activeCell="A6" sqref="A6:A20"/>
    </sheetView>
  </sheetViews>
  <sheetFormatPr defaultColWidth="8.77734375" defaultRowHeight="15.6" x14ac:dyDescent="0.3"/>
  <cols>
    <col min="1" max="1" width="20.77734375" style="75" customWidth="1"/>
    <col min="2" max="2" width="24.5546875" style="75" customWidth="1"/>
    <col min="3" max="3" width="138.77734375" style="75" customWidth="1"/>
    <col min="4" max="16384" width="8.77734375" style="75"/>
  </cols>
  <sheetData>
    <row r="1" spans="1:3" ht="44.55" customHeight="1" x14ac:dyDescent="0.3">
      <c r="A1" s="161" t="s">
        <v>0</v>
      </c>
      <c r="B1" s="161"/>
      <c r="C1" s="161"/>
    </row>
    <row r="2" spans="1:3" ht="25.35" customHeight="1" x14ac:dyDescent="0.3">
      <c r="A2" s="162" t="s">
        <v>1</v>
      </c>
      <c r="B2" s="163"/>
      <c r="C2" s="164"/>
    </row>
    <row r="3" spans="1:3" ht="18" x14ac:dyDescent="0.3">
      <c r="A3" s="87" t="s">
        <v>2</v>
      </c>
      <c r="B3" s="143">
        <v>46042</v>
      </c>
      <c r="C3" s="88"/>
    </row>
    <row r="4" spans="1:3" ht="18.600000000000001" thickBot="1" x14ac:dyDescent="0.35">
      <c r="A4" s="165" t="s">
        <v>3</v>
      </c>
      <c r="B4" s="165"/>
      <c r="C4" s="165"/>
    </row>
    <row r="5" spans="1:3" x14ac:dyDescent="0.3">
      <c r="A5" s="77" t="s">
        <v>4</v>
      </c>
      <c r="B5" s="166" t="s">
        <v>5</v>
      </c>
      <c r="C5" s="167"/>
    </row>
    <row r="6" spans="1:3" ht="36.6" customHeight="1" x14ac:dyDescent="0.3">
      <c r="A6" s="168" t="s">
        <v>6</v>
      </c>
      <c r="B6" s="150" t="s">
        <v>7</v>
      </c>
      <c r="C6" s="151"/>
    </row>
    <row r="7" spans="1:3" x14ac:dyDescent="0.3">
      <c r="A7" s="169"/>
      <c r="B7" s="158" t="s">
        <v>8</v>
      </c>
      <c r="C7" s="159"/>
    </row>
    <row r="8" spans="1:3" x14ac:dyDescent="0.3">
      <c r="A8" s="169"/>
      <c r="B8" s="76" t="s">
        <v>9</v>
      </c>
      <c r="C8" s="78" t="s">
        <v>10</v>
      </c>
    </row>
    <row r="9" spans="1:3" x14ac:dyDescent="0.3">
      <c r="A9" s="169"/>
      <c r="B9" s="76" t="s">
        <v>11</v>
      </c>
      <c r="C9" s="78" t="s">
        <v>12</v>
      </c>
    </row>
    <row r="10" spans="1:3" ht="78" x14ac:dyDescent="0.3">
      <c r="A10" s="169"/>
      <c r="B10" s="76" t="s">
        <v>13</v>
      </c>
      <c r="C10" s="78" t="s">
        <v>14</v>
      </c>
    </row>
    <row r="11" spans="1:3" x14ac:dyDescent="0.3">
      <c r="A11" s="169"/>
      <c r="B11" s="76" t="s">
        <v>15</v>
      </c>
      <c r="C11" s="78" t="s">
        <v>16</v>
      </c>
    </row>
    <row r="12" spans="1:3" ht="130.80000000000001" customHeight="1" x14ac:dyDescent="0.3">
      <c r="A12" s="169"/>
      <c r="B12" s="76" t="s">
        <v>17</v>
      </c>
      <c r="C12" s="78" t="s">
        <v>18</v>
      </c>
    </row>
    <row r="13" spans="1:3" ht="56.55" customHeight="1" x14ac:dyDescent="0.3">
      <c r="A13" s="169"/>
      <c r="B13" s="76" t="s">
        <v>19</v>
      </c>
      <c r="C13" s="78" t="s">
        <v>20</v>
      </c>
    </row>
    <row r="14" spans="1:3" x14ac:dyDescent="0.3">
      <c r="A14" s="169"/>
      <c r="B14" s="76" t="s">
        <v>21</v>
      </c>
      <c r="C14" s="78" t="s">
        <v>22</v>
      </c>
    </row>
    <row r="15" spans="1:3" x14ac:dyDescent="0.3">
      <c r="A15" s="169"/>
      <c r="B15" s="154" t="s">
        <v>23</v>
      </c>
      <c r="C15" s="155"/>
    </row>
    <row r="16" spans="1:3" ht="53.55" customHeight="1" x14ac:dyDescent="0.3">
      <c r="A16" s="169"/>
      <c r="B16" s="156" t="s">
        <v>24</v>
      </c>
      <c r="C16" s="157"/>
    </row>
    <row r="17" spans="1:3" x14ac:dyDescent="0.3">
      <c r="A17" s="169"/>
      <c r="B17" s="154" t="s">
        <v>25</v>
      </c>
      <c r="C17" s="155"/>
    </row>
    <row r="18" spans="1:3" ht="48.6" customHeight="1" x14ac:dyDescent="0.3">
      <c r="A18" s="169"/>
      <c r="B18" s="156" t="s">
        <v>26</v>
      </c>
      <c r="C18" s="157"/>
    </row>
    <row r="19" spans="1:3" x14ac:dyDescent="0.3">
      <c r="A19" s="169"/>
      <c r="B19" s="154" t="s">
        <v>27</v>
      </c>
      <c r="C19" s="155"/>
    </row>
    <row r="20" spans="1:3" x14ac:dyDescent="0.3">
      <c r="A20" s="170"/>
      <c r="B20" s="156" t="s">
        <v>28</v>
      </c>
      <c r="C20" s="157"/>
    </row>
    <row r="21" spans="1:3" ht="33.6" customHeight="1" x14ac:dyDescent="0.3">
      <c r="A21" s="144" t="s">
        <v>29</v>
      </c>
      <c r="B21" s="150" t="s">
        <v>30</v>
      </c>
      <c r="C21" s="151"/>
    </row>
    <row r="22" spans="1:3" x14ac:dyDescent="0.3">
      <c r="A22" s="79" t="s">
        <v>31</v>
      </c>
      <c r="B22" s="150" t="s">
        <v>32</v>
      </c>
      <c r="C22" s="151"/>
    </row>
    <row r="23" spans="1:3" x14ac:dyDescent="0.3">
      <c r="A23" s="160" t="s">
        <v>33</v>
      </c>
      <c r="B23" s="158" t="s">
        <v>34</v>
      </c>
      <c r="C23" s="159"/>
    </row>
    <row r="24" spans="1:3" x14ac:dyDescent="0.3">
      <c r="A24" s="160"/>
      <c r="B24" s="76" t="s">
        <v>35</v>
      </c>
      <c r="C24" s="78" t="s">
        <v>36</v>
      </c>
    </row>
    <row r="25" spans="1:3" ht="120" customHeight="1" x14ac:dyDescent="0.3">
      <c r="A25" s="160"/>
      <c r="B25" s="76" t="s">
        <v>37</v>
      </c>
      <c r="C25" s="78" t="s">
        <v>38</v>
      </c>
    </row>
    <row r="26" spans="1:3" ht="148.5" customHeight="1" x14ac:dyDescent="0.3">
      <c r="A26" s="160"/>
      <c r="B26" s="76" t="s">
        <v>39</v>
      </c>
      <c r="C26" s="78" t="s">
        <v>40</v>
      </c>
    </row>
    <row r="27" spans="1:3" ht="151.35" customHeight="1" x14ac:dyDescent="0.3">
      <c r="A27" s="160"/>
      <c r="B27" s="76" t="s">
        <v>41</v>
      </c>
      <c r="C27" s="78" t="s">
        <v>42</v>
      </c>
    </row>
    <row r="28" spans="1:3" ht="62.4" x14ac:dyDescent="0.3">
      <c r="A28" s="160"/>
      <c r="B28" s="76" t="s">
        <v>43</v>
      </c>
      <c r="C28" s="78" t="s">
        <v>44</v>
      </c>
    </row>
    <row r="29" spans="1:3" ht="95.55" customHeight="1" x14ac:dyDescent="0.3">
      <c r="A29" s="160"/>
      <c r="B29" s="76" t="s">
        <v>45</v>
      </c>
      <c r="C29" s="78" t="s">
        <v>46</v>
      </c>
    </row>
    <row r="30" spans="1:3" x14ac:dyDescent="0.3">
      <c r="A30" s="160"/>
      <c r="B30" s="76" t="s">
        <v>47</v>
      </c>
      <c r="C30" s="78" t="s">
        <v>48</v>
      </c>
    </row>
    <row r="31" spans="1:3" ht="31.2" x14ac:dyDescent="0.3">
      <c r="A31" s="79" t="s">
        <v>49</v>
      </c>
      <c r="B31" s="150" t="s">
        <v>50</v>
      </c>
      <c r="C31" s="151"/>
    </row>
    <row r="32" spans="1:3" x14ac:dyDescent="0.3">
      <c r="A32" s="79" t="s">
        <v>51</v>
      </c>
      <c r="B32" s="150" t="s">
        <v>52</v>
      </c>
      <c r="C32" s="151"/>
    </row>
    <row r="33" spans="1:3" ht="62.55" customHeight="1" x14ac:dyDescent="0.3">
      <c r="A33" s="79" t="s">
        <v>53</v>
      </c>
      <c r="B33" s="150" t="s">
        <v>54</v>
      </c>
      <c r="C33" s="151"/>
    </row>
    <row r="34" spans="1:3" ht="16.2" thickBot="1" x14ac:dyDescent="0.35">
      <c r="A34" s="80" t="s">
        <v>55</v>
      </c>
      <c r="B34" s="152" t="s">
        <v>56</v>
      </c>
      <c r="C34" s="153"/>
    </row>
  </sheetData>
  <mergeCells count="21">
    <mergeCell ref="A23:A30"/>
    <mergeCell ref="B31:C31"/>
    <mergeCell ref="B32:C32"/>
    <mergeCell ref="A1:C1"/>
    <mergeCell ref="A2:C2"/>
    <mergeCell ref="A4:C4"/>
    <mergeCell ref="B6:C6"/>
    <mergeCell ref="B7:C7"/>
    <mergeCell ref="B5:C5"/>
    <mergeCell ref="A6:A20"/>
    <mergeCell ref="B33:C33"/>
    <mergeCell ref="B34:C34"/>
    <mergeCell ref="B15:C15"/>
    <mergeCell ref="B16:C16"/>
    <mergeCell ref="B17:C17"/>
    <mergeCell ref="B18:C18"/>
    <mergeCell ref="B19:C19"/>
    <mergeCell ref="B20:C20"/>
    <mergeCell ref="B21:C21"/>
    <mergeCell ref="B22:C22"/>
    <mergeCell ref="B23:C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4BC4-F8EA-4ED3-82FC-83C8CA507DAC}">
  <dimension ref="A1:AU42"/>
  <sheetViews>
    <sheetView workbookViewId="0"/>
  </sheetViews>
  <sheetFormatPr defaultRowHeight="14.4" x14ac:dyDescent="0.3"/>
  <cols>
    <col min="2" max="2" width="22.5546875" bestFit="1" customWidth="1"/>
    <col min="3" max="23" width="8.5546875" customWidth="1"/>
    <col min="25" max="25" width="5.44140625" customWidth="1"/>
    <col min="26" max="26" width="25.5546875" customWidth="1"/>
    <col min="27" max="47" width="7.5546875" customWidth="1"/>
    <col min="49" max="49" width="24.21875" bestFit="1" customWidth="1"/>
    <col min="50" max="55" width="11.77734375" customWidth="1"/>
  </cols>
  <sheetData>
    <row r="1" spans="1:47" x14ac:dyDescent="0.3">
      <c r="A1" s="18" t="s">
        <v>466</v>
      </c>
    </row>
    <row r="2" spans="1:47" x14ac:dyDescent="0.3">
      <c r="A2" s="18" t="s">
        <v>480</v>
      </c>
    </row>
    <row r="3" spans="1:47" x14ac:dyDescent="0.3">
      <c r="A3" s="18" t="s">
        <v>468</v>
      </c>
    </row>
    <row r="4" spans="1:47" x14ac:dyDescent="0.3">
      <c r="A4" s="133" t="s">
        <v>469</v>
      </c>
      <c r="Y4" s="133" t="s">
        <v>470</v>
      </c>
    </row>
    <row r="5" spans="1:47" ht="121.2" x14ac:dyDescent="0.3">
      <c r="A5" s="1" t="s">
        <v>149</v>
      </c>
      <c r="B5" s="1" t="s">
        <v>152</v>
      </c>
      <c r="C5" s="91" t="s">
        <v>93</v>
      </c>
      <c r="D5" s="91" t="s">
        <v>94</v>
      </c>
      <c r="E5" s="91" t="s">
        <v>95</v>
      </c>
      <c r="F5" s="91" t="s">
        <v>96</v>
      </c>
      <c r="G5" s="91" t="s">
        <v>97</v>
      </c>
      <c r="H5" s="91" t="s">
        <v>98</v>
      </c>
      <c r="I5" s="91" t="s">
        <v>99</v>
      </c>
      <c r="J5" s="91" t="s">
        <v>100</v>
      </c>
      <c r="K5" s="91" t="s">
        <v>101</v>
      </c>
      <c r="L5" s="91" t="s">
        <v>102</v>
      </c>
      <c r="M5" s="91" t="s">
        <v>103</v>
      </c>
      <c r="N5" s="91" t="s">
        <v>104</v>
      </c>
      <c r="O5" s="91" t="s">
        <v>105</v>
      </c>
      <c r="P5" s="91" t="s">
        <v>106</v>
      </c>
      <c r="Q5" s="91" t="s">
        <v>107</v>
      </c>
      <c r="R5" s="91" t="s">
        <v>108</v>
      </c>
      <c r="S5" s="91" t="s">
        <v>109</v>
      </c>
      <c r="T5" s="91" t="s">
        <v>110</v>
      </c>
      <c r="U5" s="91" t="s">
        <v>111</v>
      </c>
      <c r="V5" s="91" t="s">
        <v>112</v>
      </c>
      <c r="W5" s="91" t="s">
        <v>471</v>
      </c>
      <c r="Y5" s="1" t="s">
        <v>149</v>
      </c>
      <c r="Z5" s="1" t="s">
        <v>152</v>
      </c>
      <c r="AA5" s="91" t="s">
        <v>93</v>
      </c>
      <c r="AB5" s="91" t="s">
        <v>94</v>
      </c>
      <c r="AC5" s="91" t="s">
        <v>95</v>
      </c>
      <c r="AD5" s="91" t="s">
        <v>96</v>
      </c>
      <c r="AE5" s="91" t="s">
        <v>97</v>
      </c>
      <c r="AF5" s="91" t="s">
        <v>98</v>
      </c>
      <c r="AG5" s="91" t="s">
        <v>99</v>
      </c>
      <c r="AH5" s="91" t="s">
        <v>100</v>
      </c>
      <c r="AI5" s="91" t="s">
        <v>101</v>
      </c>
      <c r="AJ5" s="91" t="s">
        <v>102</v>
      </c>
      <c r="AK5" s="91" t="s">
        <v>103</v>
      </c>
      <c r="AL5" s="91" t="s">
        <v>104</v>
      </c>
      <c r="AM5" s="91" t="s">
        <v>105</v>
      </c>
      <c r="AN5" s="91" t="s">
        <v>106</v>
      </c>
      <c r="AO5" s="91" t="s">
        <v>107</v>
      </c>
      <c r="AP5" s="91" t="s">
        <v>108</v>
      </c>
      <c r="AQ5" s="91" t="s">
        <v>109</v>
      </c>
      <c r="AR5" s="91" t="s">
        <v>110</v>
      </c>
      <c r="AS5" s="91" t="s">
        <v>111</v>
      </c>
      <c r="AT5" s="91" t="s">
        <v>112</v>
      </c>
      <c r="AU5" s="91" t="s">
        <v>472</v>
      </c>
    </row>
    <row r="6" spans="1:47" x14ac:dyDescent="0.3">
      <c r="A6" s="2">
        <v>1</v>
      </c>
      <c r="B6" s="2" t="s">
        <v>186</v>
      </c>
      <c r="C6" s="20">
        <v>3.5903117361174672E-2</v>
      </c>
      <c r="D6" s="20">
        <v>4.9223498066972796E-3</v>
      </c>
      <c r="E6" s="20">
        <v>0</v>
      </c>
      <c r="F6" s="20">
        <v>1.0587489791173568E-4</v>
      </c>
      <c r="G6" s="20">
        <v>6.3320911297605434E-2</v>
      </c>
      <c r="H6" s="20">
        <v>1.7515764630719112E-2</v>
      </c>
      <c r="I6" s="20">
        <v>0.1798114196578833</v>
      </c>
      <c r="J6" s="20">
        <v>0.62321617698223319</v>
      </c>
      <c r="K6" s="20">
        <v>3.8277641919359104E-2</v>
      </c>
      <c r="L6" s="20">
        <v>0</v>
      </c>
      <c r="M6" s="20">
        <v>9.7369740534130125E-3</v>
      </c>
      <c r="N6" s="20">
        <v>0</v>
      </c>
      <c r="O6" s="20">
        <v>0</v>
      </c>
      <c r="P6" s="20">
        <v>0</v>
      </c>
      <c r="Q6" s="20">
        <v>6.607639167166585E-4</v>
      </c>
      <c r="R6" s="20">
        <v>1.5511838451432758E-2</v>
      </c>
      <c r="S6" s="20">
        <v>3.0031118935087264E-3</v>
      </c>
      <c r="T6" s="20">
        <v>0</v>
      </c>
      <c r="U6" s="20">
        <v>8.0140551313450988E-3</v>
      </c>
      <c r="V6" s="20">
        <v>0</v>
      </c>
      <c r="W6" s="20">
        <v>0.99999999999999989</v>
      </c>
      <c r="Y6" s="2">
        <v>1</v>
      </c>
      <c r="Z6" s="2" t="str">
        <f>VLOOKUP(Y6,WLs!$A$4:$C$23,3,FALSE)</f>
        <v>Tochten ABC1</v>
      </c>
      <c r="AA6" s="20">
        <v>2.4919107539342018E-2</v>
      </c>
      <c r="AB6" s="20">
        <v>3.4440374851334257E-3</v>
      </c>
      <c r="AC6" s="20">
        <v>0</v>
      </c>
      <c r="AD6" s="20">
        <v>8.0954497359019825E-5</v>
      </c>
      <c r="AE6" s="20">
        <v>4.3682293087420644E-2</v>
      </c>
      <c r="AF6" s="20">
        <v>1.1635310090285324E-2</v>
      </c>
      <c r="AG6" s="20">
        <v>0.12820870035627588</v>
      </c>
      <c r="AH6" s="20">
        <v>0.6899792693629978</v>
      </c>
      <c r="AI6" s="20">
        <v>3.0212908635583988E-2</v>
      </c>
      <c r="AJ6" s="20">
        <v>1.6670791373987389E-5</v>
      </c>
      <c r="AK6" s="20">
        <v>1.0429129284982129E-2</v>
      </c>
      <c r="AL6" s="20">
        <v>0</v>
      </c>
      <c r="AM6" s="20">
        <v>0</v>
      </c>
      <c r="AN6" s="20">
        <v>0</v>
      </c>
      <c r="AO6" s="20">
        <v>1.5131589199500859E-3</v>
      </c>
      <c r="AP6" s="20">
        <v>4.7421323633865725E-2</v>
      </c>
      <c r="AQ6" s="20">
        <v>3.511305382688912E-3</v>
      </c>
      <c r="AR6" s="20">
        <v>0</v>
      </c>
      <c r="AS6" s="20">
        <v>4.945830932740927E-3</v>
      </c>
      <c r="AT6" s="20">
        <v>0</v>
      </c>
      <c r="AU6" s="20">
        <f>SUM(AA6:AT6)</f>
        <v>0.99999999999999989</v>
      </c>
    </row>
    <row r="7" spans="1:47" x14ac:dyDescent="0.3">
      <c r="A7" s="2">
        <v>2</v>
      </c>
      <c r="B7" s="2" t="s">
        <v>193</v>
      </c>
      <c r="C7" s="20">
        <v>0.13666398030801311</v>
      </c>
      <c r="D7" s="20">
        <v>6.1673269593169678E-3</v>
      </c>
      <c r="E7" s="20">
        <v>0</v>
      </c>
      <c r="F7" s="20">
        <v>2.1689092314709565E-4</v>
      </c>
      <c r="G7" s="20">
        <v>0.12306774327770229</v>
      </c>
      <c r="H7" s="20">
        <v>6.5737993768011538E-2</v>
      </c>
      <c r="I7" s="20">
        <v>4.2498610565064432E-2</v>
      </c>
      <c r="J7" s="20">
        <v>0.55999909072769416</v>
      </c>
      <c r="K7" s="20">
        <v>3.3327304986668492E-2</v>
      </c>
      <c r="L7" s="20">
        <v>0</v>
      </c>
      <c r="M7" s="20">
        <v>8.9348326162005456E-3</v>
      </c>
      <c r="N7" s="20">
        <v>0</v>
      </c>
      <c r="O7" s="20">
        <v>0</v>
      </c>
      <c r="P7" s="20">
        <v>0</v>
      </c>
      <c r="Q7" s="20">
        <v>6.2601460631015761E-4</v>
      </c>
      <c r="R7" s="20">
        <v>1.2902267248181625E-2</v>
      </c>
      <c r="S7" s="20">
        <v>2.9504947254725233E-3</v>
      </c>
      <c r="T7" s="20">
        <v>0</v>
      </c>
      <c r="U7" s="20">
        <v>6.9074492882170773E-3</v>
      </c>
      <c r="V7" s="20">
        <v>0</v>
      </c>
      <c r="W7" s="20">
        <v>0.99999999999999989</v>
      </c>
      <c r="Y7" s="2">
        <v>2</v>
      </c>
      <c r="Z7" s="2" t="str">
        <f>VLOOKUP(Y7,WLs!$A$4:$C$23,3,FALSE)</f>
        <v>Tochten ABC2</v>
      </c>
      <c r="AA7" s="20">
        <v>9.2637488649302532E-2</v>
      </c>
      <c r="AB7" s="20">
        <v>3.9277233883076926E-3</v>
      </c>
      <c r="AC7" s="20">
        <v>0</v>
      </c>
      <c r="AD7" s="20">
        <v>1.8125089032303168E-4</v>
      </c>
      <c r="AE7" s="20">
        <v>8.3385735632703614E-2</v>
      </c>
      <c r="AF7" s="20">
        <v>4.3013231482383646E-2</v>
      </c>
      <c r="AG7" s="20">
        <v>3.2976228917242105E-2</v>
      </c>
      <c r="AH7" s="20">
        <v>0.65446439238755194</v>
      </c>
      <c r="AI7" s="20">
        <v>2.801245651079206E-2</v>
      </c>
      <c r="AJ7" s="20">
        <v>1.454528744944737E-5</v>
      </c>
      <c r="AK7" s="20">
        <v>1.0085123586905177E-2</v>
      </c>
      <c r="AL7" s="20">
        <v>0</v>
      </c>
      <c r="AM7" s="20">
        <v>0</v>
      </c>
      <c r="AN7" s="20">
        <v>0</v>
      </c>
      <c r="AO7" s="20">
        <v>1.513844649069948E-3</v>
      </c>
      <c r="AP7" s="20">
        <v>4.1412713191288968E-2</v>
      </c>
      <c r="AQ7" s="20">
        <v>3.6153636859165613E-3</v>
      </c>
      <c r="AR7" s="20">
        <v>0</v>
      </c>
      <c r="AS7" s="20">
        <v>4.7599017407632697E-3</v>
      </c>
      <c r="AT7" s="20">
        <v>0</v>
      </c>
      <c r="AU7" s="20">
        <f t="shared" ref="AU7:AU18" si="0">SUM(AA7:AT7)</f>
        <v>0.99999999999999989</v>
      </c>
    </row>
    <row r="8" spans="1:47" x14ac:dyDescent="0.3">
      <c r="A8" s="2">
        <v>3</v>
      </c>
      <c r="B8" s="2" t="s">
        <v>197</v>
      </c>
      <c r="C8" s="20">
        <v>3.9280767964590887E-2</v>
      </c>
      <c r="D8" s="20">
        <v>1.9377969449300935E-3</v>
      </c>
      <c r="E8" s="20">
        <v>0</v>
      </c>
      <c r="F8" s="20">
        <v>3.4286150935175264E-5</v>
      </c>
      <c r="G8" s="20">
        <v>8.3323259159289065E-2</v>
      </c>
      <c r="H8" s="20">
        <v>1.2849761852375324E-2</v>
      </c>
      <c r="I8" s="20">
        <v>0.16076749729335288</v>
      </c>
      <c r="J8" s="20">
        <v>5.8598890881684858E-2</v>
      </c>
      <c r="K8" s="20">
        <v>1.315312799367201E-2</v>
      </c>
      <c r="L8" s="20">
        <v>7.1240549575572515E-4</v>
      </c>
      <c r="M8" s="20">
        <v>4.5527189661075237E-3</v>
      </c>
      <c r="N8" s="20">
        <v>0</v>
      </c>
      <c r="O8" s="20">
        <v>0</v>
      </c>
      <c r="P8" s="20">
        <v>0</v>
      </c>
      <c r="Q8" s="20">
        <v>0</v>
      </c>
      <c r="R8" s="20">
        <v>0.43914058194673683</v>
      </c>
      <c r="S8" s="20">
        <v>0.1247602373153915</v>
      </c>
      <c r="T8" s="20">
        <v>1.3265643692929464E-3</v>
      </c>
      <c r="U8" s="20">
        <v>4.5231248051112796E-2</v>
      </c>
      <c r="V8" s="20">
        <v>1.4330855614772379E-2</v>
      </c>
      <c r="W8" s="20">
        <v>0.99999999999999978</v>
      </c>
      <c r="Y8" s="2">
        <v>3</v>
      </c>
      <c r="Z8" s="2" t="str">
        <f>VLOOKUP(Y8,WLs!$A$4:$C$23,3,FALSE)</f>
        <v>Tochten DE Almere</v>
      </c>
      <c r="AA8" s="20">
        <v>1.9116454595595262E-2</v>
      </c>
      <c r="AB8" s="20">
        <v>1.1722471441359713E-3</v>
      </c>
      <c r="AC8" s="20">
        <v>0</v>
      </c>
      <c r="AD8" s="20">
        <v>1.8106888246675315E-5</v>
      </c>
      <c r="AE8" s="20">
        <v>3.9348131100176764E-2</v>
      </c>
      <c r="AF8" s="20">
        <v>6.2646703352158845E-3</v>
      </c>
      <c r="AG8" s="20">
        <v>7.8689298070850802E-2</v>
      </c>
      <c r="AH8" s="20">
        <v>4.4887099596427275E-2</v>
      </c>
      <c r="AI8" s="20">
        <v>7.0360584616701383E-3</v>
      </c>
      <c r="AJ8" s="20">
        <v>4.9626295163909102E-4</v>
      </c>
      <c r="AK8" s="20">
        <v>2.6335318664293191E-3</v>
      </c>
      <c r="AL8" s="20">
        <v>0</v>
      </c>
      <c r="AM8" s="20">
        <v>0</v>
      </c>
      <c r="AN8" s="20">
        <v>0</v>
      </c>
      <c r="AO8" s="20">
        <v>0</v>
      </c>
      <c r="AP8" s="20">
        <v>0.72116733700988622</v>
      </c>
      <c r="AQ8" s="20">
        <v>6.1368433064335023E-2</v>
      </c>
      <c r="AR8" s="20">
        <v>9.0074719754028613E-4</v>
      </c>
      <c r="AS8" s="20">
        <v>3.2806361940805558E-3</v>
      </c>
      <c r="AT8" s="20">
        <v>1.3620985523770814E-2</v>
      </c>
      <c r="AU8" s="20">
        <f t="shared" si="0"/>
        <v>1.0000000000000002</v>
      </c>
    </row>
    <row r="9" spans="1:47" x14ac:dyDescent="0.3">
      <c r="A9" s="2">
        <v>4</v>
      </c>
      <c r="B9" s="2" t="s">
        <v>201</v>
      </c>
      <c r="C9" s="20">
        <v>0.16526778219636623</v>
      </c>
      <c r="D9" s="20">
        <v>6.4679384270480041E-3</v>
      </c>
      <c r="E9" s="20">
        <v>0</v>
      </c>
      <c r="F9" s="20">
        <v>2.5167931157363228E-4</v>
      </c>
      <c r="G9" s="20">
        <v>6.5565115874644087E-2</v>
      </c>
      <c r="H9" s="20">
        <v>0.10112808018742817</v>
      </c>
      <c r="I9" s="20">
        <v>5.1648997427119106E-2</v>
      </c>
      <c r="J9" s="20">
        <v>0.28899809629828671</v>
      </c>
      <c r="K9" s="20">
        <v>7.7153081206309593E-2</v>
      </c>
      <c r="L9" s="20">
        <v>7.0589607874932641E-4</v>
      </c>
      <c r="M9" s="20">
        <v>1.1668940051593964E-2</v>
      </c>
      <c r="N9" s="20">
        <v>0</v>
      </c>
      <c r="O9" s="20">
        <v>0</v>
      </c>
      <c r="P9" s="20">
        <v>0</v>
      </c>
      <c r="Q9" s="20">
        <v>0</v>
      </c>
      <c r="R9" s="20">
        <v>0.21911941295631884</v>
      </c>
      <c r="S9" s="20">
        <v>5.4580360690949271E-3</v>
      </c>
      <c r="T9" s="20">
        <v>1.8929958469376005E-3</v>
      </c>
      <c r="U9" s="20">
        <v>4.6739480685297208E-3</v>
      </c>
      <c r="V9" s="20">
        <v>0</v>
      </c>
      <c r="W9" s="20">
        <v>1.0000000000000002</v>
      </c>
      <c r="Y9" s="2">
        <v>4</v>
      </c>
      <c r="Z9" s="2" t="str">
        <f>VLOOKUP(Y9,WLs!$A$4:$C$23,3,FALSE)</f>
        <v>Tochten DE Zuidlob</v>
      </c>
      <c r="AA9" s="20">
        <v>9.5587737710981474E-2</v>
      </c>
      <c r="AB9" s="20">
        <v>3.7858003978126515E-3</v>
      </c>
      <c r="AC9" s="20">
        <v>0</v>
      </c>
      <c r="AD9" s="20">
        <v>2.1097038747314227E-4</v>
      </c>
      <c r="AE9" s="20">
        <v>3.5827933531337418E-2</v>
      </c>
      <c r="AF9" s="20">
        <v>5.7981721043732989E-2</v>
      </c>
      <c r="AG9" s="20">
        <v>3.1924718771610884E-2</v>
      </c>
      <c r="AH9" s="20">
        <v>0.28447723339283904</v>
      </c>
      <c r="AI9" s="20">
        <v>5.3036401971485021E-2</v>
      </c>
      <c r="AJ9" s="20">
        <v>2.9220879176784033E-4</v>
      </c>
      <c r="AK9" s="20">
        <v>1.0964422079708467E-2</v>
      </c>
      <c r="AL9" s="20">
        <v>0</v>
      </c>
      <c r="AM9" s="20">
        <v>0</v>
      </c>
      <c r="AN9" s="20">
        <v>0</v>
      </c>
      <c r="AO9" s="20">
        <v>0</v>
      </c>
      <c r="AP9" s="20">
        <v>0.41531537055627149</v>
      </c>
      <c r="AQ9" s="20">
        <v>5.1654851666215881E-3</v>
      </c>
      <c r="AR9" s="20">
        <v>1.651386162084083E-3</v>
      </c>
      <c r="AS9" s="20">
        <v>3.7786100362738454E-3</v>
      </c>
      <c r="AT9" s="20">
        <v>0</v>
      </c>
      <c r="AU9" s="20">
        <f t="shared" si="0"/>
        <v>1</v>
      </c>
    </row>
    <row r="10" spans="1:47" x14ac:dyDescent="0.3">
      <c r="A10" s="2">
        <v>5</v>
      </c>
      <c r="B10" s="2" t="s">
        <v>204</v>
      </c>
      <c r="C10" s="20">
        <v>0.25872394193952569</v>
      </c>
      <c r="D10" s="20">
        <v>2.4540021965470979E-3</v>
      </c>
      <c r="E10" s="20">
        <v>0</v>
      </c>
      <c r="F10" s="20">
        <v>2.3906296616730454E-4</v>
      </c>
      <c r="G10" s="20">
        <v>6.3716799790025716E-2</v>
      </c>
      <c r="H10" s="20">
        <v>0.11168251061939043</v>
      </c>
      <c r="I10" s="20">
        <v>1.8186768828259165E-2</v>
      </c>
      <c r="J10" s="20">
        <v>0.36046465438626785</v>
      </c>
      <c r="K10" s="20">
        <v>3.071217643237921E-2</v>
      </c>
      <c r="L10" s="20">
        <v>4.608330667421952E-6</v>
      </c>
      <c r="M10" s="20">
        <v>1.1136897675063451E-2</v>
      </c>
      <c r="N10" s="20">
        <v>6.0473185284012204E-4</v>
      </c>
      <c r="O10" s="20">
        <v>0</v>
      </c>
      <c r="P10" s="20">
        <v>0</v>
      </c>
      <c r="Q10" s="20">
        <v>1.1713233964808168E-5</v>
      </c>
      <c r="R10" s="20">
        <v>0.1060638652122947</v>
      </c>
      <c r="S10" s="20">
        <v>2.0970559159642049E-2</v>
      </c>
      <c r="T10" s="20">
        <v>1.3767664984389174E-4</v>
      </c>
      <c r="U10" s="20">
        <v>9.7222510311996968E-3</v>
      </c>
      <c r="V10" s="20">
        <v>5.167779695921134E-3</v>
      </c>
      <c r="W10" s="20">
        <v>1.0000000000000002</v>
      </c>
      <c r="Y10" s="2">
        <v>5</v>
      </c>
      <c r="Z10" s="2" t="str">
        <f>VLOOKUP(Y10,WLs!$A$4:$C$23,3,FALSE)</f>
        <v>Tochten FGIK</v>
      </c>
      <c r="AA10" s="20">
        <v>0.16577425655325312</v>
      </c>
      <c r="AB10" s="20">
        <v>1.8248490260602077E-3</v>
      </c>
      <c r="AC10" s="20">
        <v>0</v>
      </c>
      <c r="AD10" s="20">
        <v>2.1707131945880123E-4</v>
      </c>
      <c r="AE10" s="20">
        <v>3.7252762836683759E-2</v>
      </c>
      <c r="AF10" s="20">
        <v>7.3567856621884808E-2</v>
      </c>
      <c r="AG10" s="20">
        <v>1.4909727719746062E-2</v>
      </c>
      <c r="AH10" s="20">
        <v>0.39904370485631158</v>
      </c>
      <c r="AI10" s="20">
        <v>2.2226859779829414E-2</v>
      </c>
      <c r="AJ10" s="20">
        <v>8.8956564308408805E-5</v>
      </c>
      <c r="AK10" s="20">
        <v>1.1175699761786725E-2</v>
      </c>
      <c r="AL10" s="20">
        <v>1.9557080717354427E-3</v>
      </c>
      <c r="AM10" s="20">
        <v>0</v>
      </c>
      <c r="AN10" s="20">
        <v>0</v>
      </c>
      <c r="AO10" s="20">
        <v>5.1740768805554005E-5</v>
      </c>
      <c r="AP10" s="20">
        <v>0.23791731019903523</v>
      </c>
      <c r="AQ10" s="20">
        <v>2.1794119796981273E-2</v>
      </c>
      <c r="AR10" s="20">
        <v>2.6956052051469261E-4</v>
      </c>
      <c r="AS10" s="20">
        <v>8.1117114210801904E-3</v>
      </c>
      <c r="AT10" s="20">
        <v>3.8181041825245832E-3</v>
      </c>
      <c r="AU10" s="20">
        <f t="shared" si="0"/>
        <v>0.99999999999999978</v>
      </c>
    </row>
    <row r="11" spans="1:47" x14ac:dyDescent="0.3">
      <c r="A11" s="2">
        <v>6</v>
      </c>
      <c r="B11" s="2" t="s">
        <v>208</v>
      </c>
      <c r="C11" s="20">
        <v>0.26275955012833124</v>
      </c>
      <c r="D11" s="20">
        <v>2.2111878547482673E-3</v>
      </c>
      <c r="E11" s="20">
        <v>0</v>
      </c>
      <c r="F11" s="20">
        <v>1.9766577483236935E-4</v>
      </c>
      <c r="G11" s="20">
        <v>3.2670992169609274E-2</v>
      </c>
      <c r="H11" s="20">
        <v>0.12586314465623677</v>
      </c>
      <c r="I11" s="20">
        <v>1.6861221040890328E-2</v>
      </c>
      <c r="J11" s="20">
        <v>0.42113224536404997</v>
      </c>
      <c r="K11" s="20">
        <v>2.1395352991777174E-2</v>
      </c>
      <c r="L11" s="20">
        <v>6.7169398411144198E-4</v>
      </c>
      <c r="M11" s="20">
        <v>1.2373687577456804E-2</v>
      </c>
      <c r="N11" s="20">
        <v>7.7641647331153406E-3</v>
      </c>
      <c r="O11" s="20">
        <v>0</v>
      </c>
      <c r="P11" s="20">
        <v>0</v>
      </c>
      <c r="Q11" s="20">
        <v>8.280257578143985E-4</v>
      </c>
      <c r="R11" s="20">
        <v>3.3735676667318991E-2</v>
      </c>
      <c r="S11" s="20">
        <v>9.9451302638891119E-3</v>
      </c>
      <c r="T11" s="20">
        <v>1.7676333473606841E-3</v>
      </c>
      <c r="U11" s="20">
        <v>1.2159345799767162E-2</v>
      </c>
      <c r="V11" s="20">
        <v>3.7663281888690656E-2</v>
      </c>
      <c r="W11" s="20">
        <v>1</v>
      </c>
      <c r="Y11" s="2">
        <v>6</v>
      </c>
      <c r="Z11" s="2" t="str">
        <f>VLOOKUP(Y11,WLs!$A$4:$C$23,3,FALSE)</f>
        <v>Tochten H</v>
      </c>
      <c r="AA11" s="20">
        <v>0.17662635383708133</v>
      </c>
      <c r="AB11" s="20">
        <v>1.8803477992038026E-3</v>
      </c>
      <c r="AC11" s="20">
        <v>0</v>
      </c>
      <c r="AD11" s="20">
        <v>2.012972575329837E-4</v>
      </c>
      <c r="AE11" s="20">
        <v>2.4096490739388091E-2</v>
      </c>
      <c r="AF11" s="20">
        <v>8.4655516675991568E-2</v>
      </c>
      <c r="AG11" s="20">
        <v>1.49410965369191E-2</v>
      </c>
      <c r="AH11" s="20">
        <v>0.50421684016750101</v>
      </c>
      <c r="AI11" s="20">
        <v>2.0497844739992062E-2</v>
      </c>
      <c r="AJ11" s="20">
        <v>6.0248796328164528E-4</v>
      </c>
      <c r="AK11" s="20">
        <v>1.362278679745293E-2</v>
      </c>
      <c r="AL11" s="20">
        <v>1.5709900527137135E-2</v>
      </c>
      <c r="AM11" s="20">
        <v>0</v>
      </c>
      <c r="AN11" s="20">
        <v>0</v>
      </c>
      <c r="AO11" s="20">
        <v>1.9001753308022461E-3</v>
      </c>
      <c r="AP11" s="20">
        <v>0.10041638936862476</v>
      </c>
      <c r="AQ11" s="20">
        <v>9.215489153168303E-3</v>
      </c>
      <c r="AR11" s="20">
        <v>2.1653379788790822E-3</v>
      </c>
      <c r="AS11" s="20">
        <v>8.0671696038589515E-3</v>
      </c>
      <c r="AT11" s="20">
        <v>2.1184475523184931E-2</v>
      </c>
      <c r="AU11" s="20">
        <f t="shared" si="0"/>
        <v>0.99999999999999989</v>
      </c>
    </row>
    <row r="12" spans="1:47" x14ac:dyDescent="0.3">
      <c r="A12" s="2">
        <v>7</v>
      </c>
      <c r="B12" s="2" t="s">
        <v>212</v>
      </c>
      <c r="C12" s="20">
        <v>0.24351765286731711</v>
      </c>
      <c r="D12" s="20">
        <v>4.164500658777868E-3</v>
      </c>
      <c r="E12" s="20">
        <v>0</v>
      </c>
      <c r="F12" s="20">
        <v>2.3356659703725901E-4</v>
      </c>
      <c r="G12" s="20">
        <v>0.17930746878301351</v>
      </c>
      <c r="H12" s="20">
        <v>5.9650940319886804E-2</v>
      </c>
      <c r="I12" s="20">
        <v>3.3114806109395808E-2</v>
      </c>
      <c r="J12" s="20">
        <v>0.31593262971441927</v>
      </c>
      <c r="K12" s="20">
        <v>3.1417693194745709E-2</v>
      </c>
      <c r="L12" s="20">
        <v>1.9027333477467822E-4</v>
      </c>
      <c r="M12" s="20">
        <v>1.4084170697354152E-2</v>
      </c>
      <c r="N12" s="20">
        <v>0</v>
      </c>
      <c r="O12" s="20">
        <v>0</v>
      </c>
      <c r="P12" s="20">
        <v>0</v>
      </c>
      <c r="Q12" s="20">
        <v>1.7759516358448364E-3</v>
      </c>
      <c r="R12" s="20">
        <v>9.4859265510166754E-2</v>
      </c>
      <c r="S12" s="20">
        <v>5.5259312928078608E-3</v>
      </c>
      <c r="T12" s="20">
        <v>1.082433175823304E-4</v>
      </c>
      <c r="U12" s="20">
        <v>1.4096816077920515E-2</v>
      </c>
      <c r="V12" s="20">
        <v>2.0200898889553161E-3</v>
      </c>
      <c r="W12" s="20">
        <v>0.99999999999999978</v>
      </c>
      <c r="Y12" s="2">
        <v>7</v>
      </c>
      <c r="Z12" s="2" t="str">
        <f>VLOOKUP(Y12,WLs!$A$4:$C$23,3,FALSE)</f>
        <v>Tochten J</v>
      </c>
      <c r="AA12" s="20">
        <v>0.15899990845399029</v>
      </c>
      <c r="AB12" s="20">
        <v>2.4591428896871366E-3</v>
      </c>
      <c r="AC12" s="20">
        <v>0</v>
      </c>
      <c r="AD12" s="20">
        <v>1.5503917670036473E-4</v>
      </c>
      <c r="AE12" s="20">
        <v>0.11912511188351084</v>
      </c>
      <c r="AF12" s="20">
        <v>3.7835165339997541E-2</v>
      </c>
      <c r="AG12" s="20">
        <v>2.3426928739841976E-2</v>
      </c>
      <c r="AH12" s="20">
        <v>0.36314940462440931</v>
      </c>
      <c r="AI12" s="20">
        <v>2.579362337231585E-2</v>
      </c>
      <c r="AJ12" s="20">
        <v>2.4734197703223641E-4</v>
      </c>
      <c r="AK12" s="20">
        <v>1.5102148595036589E-2</v>
      </c>
      <c r="AL12" s="20">
        <v>0</v>
      </c>
      <c r="AM12" s="20">
        <v>0</v>
      </c>
      <c r="AN12" s="20">
        <v>0</v>
      </c>
      <c r="AO12" s="20">
        <v>4.0147027991017685E-3</v>
      </c>
      <c r="AP12" s="20">
        <v>0.22262825922304849</v>
      </c>
      <c r="AQ12" s="20">
        <v>6.1563812036287526E-3</v>
      </c>
      <c r="AR12" s="20">
        <v>1.1033484721920591E-4</v>
      </c>
      <c r="AS12" s="20">
        <v>1.1734715365867376E-2</v>
      </c>
      <c r="AT12" s="20">
        <v>9.0617915086123983E-3</v>
      </c>
      <c r="AU12" s="20">
        <f t="shared" si="0"/>
        <v>1</v>
      </c>
    </row>
    <row r="13" spans="1:47" x14ac:dyDescent="0.3">
      <c r="A13" s="2">
        <v>8</v>
      </c>
      <c r="B13" s="2" t="s">
        <v>216</v>
      </c>
      <c r="C13" s="20">
        <v>0.25012640004931308</v>
      </c>
      <c r="D13" s="20">
        <v>2.4235896935172613E-2</v>
      </c>
      <c r="E13" s="20">
        <v>0</v>
      </c>
      <c r="F13" s="20">
        <v>2.0621913302599752E-4</v>
      </c>
      <c r="G13" s="20">
        <v>0.18776161043650022</v>
      </c>
      <c r="H13" s="20">
        <v>9.6188317690240013E-2</v>
      </c>
      <c r="I13" s="20">
        <v>6.6810274953158335E-3</v>
      </c>
      <c r="J13" s="20">
        <v>0.17199365430993074</v>
      </c>
      <c r="K13" s="20">
        <v>2.7324239073161331E-2</v>
      </c>
      <c r="L13" s="20">
        <v>2.0870420062880531E-2</v>
      </c>
      <c r="M13" s="20">
        <v>1.2398065400707798E-2</v>
      </c>
      <c r="N13" s="20">
        <v>0</v>
      </c>
      <c r="O13" s="20">
        <v>0</v>
      </c>
      <c r="P13" s="20">
        <v>0</v>
      </c>
      <c r="Q13" s="20">
        <v>2.1769497359194964E-3</v>
      </c>
      <c r="R13" s="20">
        <v>6.4050302128927112E-3</v>
      </c>
      <c r="S13" s="20">
        <v>1.7635966061351298E-3</v>
      </c>
      <c r="T13" s="20">
        <v>1.6722811257135732E-5</v>
      </c>
      <c r="U13" s="20">
        <v>6.9685505325158834E-3</v>
      </c>
      <c r="V13" s="20">
        <v>0.18488329951503146</v>
      </c>
      <c r="W13" s="20">
        <v>1</v>
      </c>
      <c r="Y13" s="2">
        <v>8</v>
      </c>
      <c r="Z13" s="2" t="str">
        <f>VLOOKUP(Y13,WLs!$A$4:$C$23,3,FALSE)</f>
        <v>Tochten lage afdeling NOP</v>
      </c>
      <c r="AA13" s="20">
        <v>0.20515797749035369</v>
      </c>
      <c r="AB13" s="20">
        <v>1.6096625852169717E-2</v>
      </c>
      <c r="AC13" s="20">
        <v>0</v>
      </c>
      <c r="AD13" s="20">
        <v>4.3494695506985482E-4</v>
      </c>
      <c r="AE13" s="20">
        <v>0.15764579797801359</v>
      </c>
      <c r="AF13" s="20">
        <v>7.1516872675035842E-2</v>
      </c>
      <c r="AG13" s="20">
        <v>1.1667214696364139E-2</v>
      </c>
      <c r="AH13" s="20">
        <v>0.24370818418765891</v>
      </c>
      <c r="AI13" s="20">
        <v>3.3537754628695036E-2</v>
      </c>
      <c r="AJ13" s="20">
        <v>2.1818426775455171E-2</v>
      </c>
      <c r="AK13" s="20">
        <v>1.5809953062705145E-2</v>
      </c>
      <c r="AL13" s="20">
        <v>2.5523016810387399E-2</v>
      </c>
      <c r="AM13" s="20">
        <v>2.9859442390415141E-6</v>
      </c>
      <c r="AN13" s="20">
        <v>0</v>
      </c>
      <c r="AO13" s="20">
        <v>6.3602193268014135E-3</v>
      </c>
      <c r="AP13" s="20">
        <v>2.493158292202825E-2</v>
      </c>
      <c r="AQ13" s="20">
        <v>3.9092387925043397E-3</v>
      </c>
      <c r="AR13" s="20">
        <v>1.0927699734361084E-3</v>
      </c>
      <c r="AS13" s="20">
        <v>7.3489549354782543E-3</v>
      </c>
      <c r="AT13" s="20">
        <v>0.15343747699360394</v>
      </c>
      <c r="AU13" s="20">
        <f t="shared" si="0"/>
        <v>1</v>
      </c>
    </row>
    <row r="14" spans="1:47" x14ac:dyDescent="0.3">
      <c r="A14" s="2">
        <v>18</v>
      </c>
      <c r="B14" s="2" t="s">
        <v>264</v>
      </c>
      <c r="C14" s="20">
        <v>4.4814609606224146E-3</v>
      </c>
      <c r="D14" s="20">
        <v>4.9785177855911833E-4</v>
      </c>
      <c r="E14" s="20">
        <v>0</v>
      </c>
      <c r="F14" s="20">
        <v>1.3687595617427007E-5</v>
      </c>
      <c r="G14" s="20">
        <v>2.8083360853122154E-3</v>
      </c>
      <c r="H14" s="20">
        <v>2.2244897348261566E-3</v>
      </c>
      <c r="I14" s="20">
        <v>8.5213537849052126E-2</v>
      </c>
      <c r="J14" s="20">
        <v>4.6468773636770509E-3</v>
      </c>
      <c r="K14" s="20">
        <v>0</v>
      </c>
      <c r="L14" s="20">
        <v>6.740433300208651E-3</v>
      </c>
      <c r="M14" s="20">
        <v>5.2310380609066527E-4</v>
      </c>
      <c r="N14" s="20">
        <v>0</v>
      </c>
      <c r="O14" s="20">
        <v>0</v>
      </c>
      <c r="P14" s="20">
        <v>0</v>
      </c>
      <c r="Q14" s="20">
        <v>0</v>
      </c>
      <c r="R14" s="20">
        <v>0.27523601321893176</v>
      </c>
      <c r="S14" s="20">
        <v>0.57869503209362427</v>
      </c>
      <c r="T14" s="20">
        <v>0</v>
      </c>
      <c r="U14" s="20">
        <v>3.8919176213478089E-2</v>
      </c>
      <c r="V14" s="20">
        <v>0</v>
      </c>
      <c r="W14" s="20">
        <v>1</v>
      </c>
      <c r="Y14" s="2">
        <v>18</v>
      </c>
      <c r="Z14" s="2" t="str">
        <f>VLOOKUP(Y14,WLs!$A$4:$C$23,3,FALSE)</f>
        <v>Oostvaardersplassen</v>
      </c>
      <c r="AA14" s="20">
        <v>1.6055908532120384E-3</v>
      </c>
      <c r="AB14" s="20">
        <v>1.5673686375732121E-4</v>
      </c>
      <c r="AC14" s="20">
        <v>0</v>
      </c>
      <c r="AD14" s="20">
        <v>7.3296997237751066E-6</v>
      </c>
      <c r="AE14" s="20">
        <v>1.3139413416506489E-3</v>
      </c>
      <c r="AF14" s="20">
        <v>1.0523293653349141E-3</v>
      </c>
      <c r="AG14" s="20">
        <v>4.4918099709649252E-2</v>
      </c>
      <c r="AH14" s="20">
        <v>4.2542117584135307E-3</v>
      </c>
      <c r="AI14" s="20">
        <v>6.4238500723166913E-4</v>
      </c>
      <c r="AJ14" s="20">
        <v>3.2206493065606218E-3</v>
      </c>
      <c r="AK14" s="20">
        <v>3.4990141623822565E-4</v>
      </c>
      <c r="AL14" s="20">
        <v>0</v>
      </c>
      <c r="AM14" s="20">
        <v>0</v>
      </c>
      <c r="AN14" s="20">
        <v>0</v>
      </c>
      <c r="AO14" s="20">
        <v>0</v>
      </c>
      <c r="AP14" s="20">
        <v>0.59096600177985181</v>
      </c>
      <c r="AQ14" s="20">
        <v>0.34852942247402086</v>
      </c>
      <c r="AR14" s="20">
        <v>0</v>
      </c>
      <c r="AS14" s="20">
        <v>2.9834004243552998E-3</v>
      </c>
      <c r="AT14" s="20">
        <v>0</v>
      </c>
      <c r="AU14" s="20">
        <f t="shared" si="0"/>
        <v>1</v>
      </c>
    </row>
    <row r="15" spans="1:47" x14ac:dyDescent="0.3">
      <c r="A15" s="2">
        <v>9</v>
      </c>
      <c r="B15" s="2" t="s">
        <v>220</v>
      </c>
      <c r="C15" s="20">
        <v>0.21748851678569378</v>
      </c>
      <c r="D15" s="20">
        <v>3.632049143714137E-3</v>
      </c>
      <c r="E15" s="20">
        <v>0</v>
      </c>
      <c r="F15" s="20">
        <v>1.6682959522447752E-4</v>
      </c>
      <c r="G15" s="20">
        <v>0.11217835777425603</v>
      </c>
      <c r="H15" s="20">
        <v>7.3162812416411871E-2</v>
      </c>
      <c r="I15" s="20">
        <v>4.4574166744192848E-3</v>
      </c>
      <c r="J15" s="20">
        <v>0.16505627446134027</v>
      </c>
      <c r="K15" s="20">
        <v>3.7645407368926492E-2</v>
      </c>
      <c r="L15" s="20">
        <v>3.1039645994539438E-2</v>
      </c>
      <c r="M15" s="20">
        <v>1.2631242678942615E-2</v>
      </c>
      <c r="N15" s="20">
        <v>0</v>
      </c>
      <c r="O15" s="20">
        <v>0</v>
      </c>
      <c r="P15" s="20">
        <v>0</v>
      </c>
      <c r="Q15" s="20">
        <v>7.0962541113544803E-4</v>
      </c>
      <c r="R15" s="20">
        <v>2.0493969974862553E-3</v>
      </c>
      <c r="S15" s="20">
        <v>2.6915432086747123E-4</v>
      </c>
      <c r="T15" s="20">
        <v>5.0477425295156393E-4</v>
      </c>
      <c r="U15" s="20">
        <v>5.0334158735945338E-3</v>
      </c>
      <c r="V15" s="20">
        <v>0.33397508025049616</v>
      </c>
      <c r="W15" s="20">
        <v>1.0000000000000002</v>
      </c>
      <c r="Y15" s="2">
        <v>9</v>
      </c>
      <c r="Z15" s="2" t="str">
        <f>VLOOKUP(Y15,WLs!$A$4:$C$23,3,FALSE)</f>
        <v>Tochten hoge afdeling NOP</v>
      </c>
      <c r="AA15" s="20">
        <v>0.1605139522616886</v>
      </c>
      <c r="AB15" s="20">
        <v>2.4083402737271314E-3</v>
      </c>
      <c r="AC15" s="20">
        <v>0</v>
      </c>
      <c r="AD15" s="20">
        <v>1.189494349904807E-4</v>
      </c>
      <c r="AE15" s="20">
        <v>7.8671708148313105E-2</v>
      </c>
      <c r="AF15" s="20">
        <v>5.4149577548398595E-2</v>
      </c>
      <c r="AG15" s="20">
        <v>4.4391547896345755E-3</v>
      </c>
      <c r="AH15" s="20">
        <v>0.21530688707188053</v>
      </c>
      <c r="AI15" s="20">
        <v>3.0674155584587512E-2</v>
      </c>
      <c r="AJ15" s="20">
        <v>2.549389724244203E-2</v>
      </c>
      <c r="AK15" s="20">
        <v>1.387192456887941E-2</v>
      </c>
      <c r="AL15" s="20">
        <v>3.0806043721598984E-4</v>
      </c>
      <c r="AM15" s="20">
        <v>3.604006903319253E-8</v>
      </c>
      <c r="AN15" s="20">
        <v>0</v>
      </c>
      <c r="AO15" s="20">
        <v>1.7188041393494562E-3</v>
      </c>
      <c r="AP15" s="20">
        <v>7.7420650937498952E-3</v>
      </c>
      <c r="AQ15" s="20">
        <v>3.7324115043970796E-4</v>
      </c>
      <c r="AR15" s="20">
        <v>5.975676067377357E-4</v>
      </c>
      <c r="AS15" s="20">
        <v>5.275336519814787E-3</v>
      </c>
      <c r="AT15" s="20">
        <v>0.39833634208808144</v>
      </c>
      <c r="AU15" s="20">
        <f t="shared" si="0"/>
        <v>0.99999999999999989</v>
      </c>
    </row>
    <row r="16" spans="1:47" x14ac:dyDescent="0.3">
      <c r="A16" s="2">
        <v>10</v>
      </c>
      <c r="B16" s="2" t="s">
        <v>224</v>
      </c>
      <c r="C16" s="20">
        <v>0.14676297685607845</v>
      </c>
      <c r="D16" s="20">
        <v>1.1809145181283493E-2</v>
      </c>
      <c r="E16" s="20">
        <v>0</v>
      </c>
      <c r="F16" s="20">
        <v>1.1755272582116633E-4</v>
      </c>
      <c r="G16" s="20">
        <v>0.10123325476731922</v>
      </c>
      <c r="H16" s="20">
        <v>5.6017389928603674E-2</v>
      </c>
      <c r="I16" s="20">
        <v>4.980735507527409E-3</v>
      </c>
      <c r="J16" s="20">
        <v>0.26941442750978734</v>
      </c>
      <c r="K16" s="20">
        <v>1.6565614340233622E-2</v>
      </c>
      <c r="L16" s="20">
        <v>1.2723299870542111E-2</v>
      </c>
      <c r="M16" s="20">
        <v>7.5126381588591249E-3</v>
      </c>
      <c r="N16" s="20">
        <v>0.13723951493919012</v>
      </c>
      <c r="O16" s="20">
        <v>0</v>
      </c>
      <c r="P16" s="20">
        <v>0</v>
      </c>
      <c r="Q16" s="20">
        <v>1.6438794864652431E-3</v>
      </c>
      <c r="R16" s="20">
        <v>4.7054882994787047E-3</v>
      </c>
      <c r="S16" s="20">
        <v>1.3678507755551855E-3</v>
      </c>
      <c r="T16" s="20">
        <v>4.2627565581078693E-3</v>
      </c>
      <c r="U16" s="20">
        <v>4.3090113834466561E-3</v>
      </c>
      <c r="V16" s="20">
        <v>0.21933446371170068</v>
      </c>
      <c r="W16" s="20">
        <v>1.0000000000000002</v>
      </c>
      <c r="Y16" s="2">
        <v>10</v>
      </c>
      <c r="Z16" s="2" t="str">
        <f>VLOOKUP(Y16,WLs!$A$4:$C$23,3,FALSE)</f>
        <v>Vaarten NOP</v>
      </c>
      <c r="AA16" s="20">
        <v>0.10456843118965298</v>
      </c>
      <c r="AB16" s="20">
        <v>6.8919131902005918E-3</v>
      </c>
      <c r="AC16" s="20">
        <v>0</v>
      </c>
      <c r="AD16" s="20">
        <v>2.5171525016771024E-4</v>
      </c>
      <c r="AE16" s="20">
        <v>7.2889094742577223E-2</v>
      </c>
      <c r="AF16" s="20">
        <v>3.7419440146880284E-2</v>
      </c>
      <c r="AG16" s="20">
        <v>6.6627203372227719E-3</v>
      </c>
      <c r="AH16" s="20">
        <v>0.32999880701175016</v>
      </c>
      <c r="AI16" s="20">
        <v>1.833941459223282E-2</v>
      </c>
      <c r="AJ16" s="20">
        <v>1.1109341706466859E-2</v>
      </c>
      <c r="AK16" s="20">
        <v>8.3940401348464831E-3</v>
      </c>
      <c r="AL16" s="20">
        <v>0.19699939262322005</v>
      </c>
      <c r="AM16" s="20">
        <v>1.9074637201555932E-6</v>
      </c>
      <c r="AN16" s="20">
        <v>0</v>
      </c>
      <c r="AO16" s="20">
        <v>4.2896267236325813E-3</v>
      </c>
      <c r="AP16" s="20">
        <v>1.6381570082390853E-2</v>
      </c>
      <c r="AQ16" s="20">
        <v>2.5426179464588276E-3</v>
      </c>
      <c r="AR16" s="20">
        <v>5.2807468567015649E-3</v>
      </c>
      <c r="AS16" s="20">
        <v>3.8761336360475969E-3</v>
      </c>
      <c r="AT16" s="20">
        <v>0.17410308636583047</v>
      </c>
      <c r="AU16" s="20">
        <f t="shared" si="0"/>
        <v>0.99999999999999989</v>
      </c>
    </row>
    <row r="17" spans="1:47" x14ac:dyDescent="0.3">
      <c r="A17" s="2">
        <v>11</v>
      </c>
      <c r="B17" s="2" t="s">
        <v>229</v>
      </c>
      <c r="C17" s="20">
        <v>0.11285941659328999</v>
      </c>
      <c r="D17" s="20">
        <v>3.2694980431691315E-3</v>
      </c>
      <c r="E17" s="20">
        <v>0</v>
      </c>
      <c r="F17" s="20">
        <v>1.196019250534539E-4</v>
      </c>
      <c r="G17" s="20">
        <v>6.7975544280806904E-2</v>
      </c>
      <c r="H17" s="20">
        <v>5.4381134566217161E-2</v>
      </c>
      <c r="I17" s="20">
        <v>4.612496923225802E-2</v>
      </c>
      <c r="J17" s="20">
        <v>0.42024993433716917</v>
      </c>
      <c r="K17" s="20">
        <v>2.4886477596709259E-2</v>
      </c>
      <c r="L17" s="20">
        <v>1.7612442971014713E-4</v>
      </c>
      <c r="M17" s="20">
        <v>6.744980325879754E-3</v>
      </c>
      <c r="N17" s="20">
        <v>2.22023209260254E-2</v>
      </c>
      <c r="O17" s="20">
        <v>0</v>
      </c>
      <c r="P17" s="20">
        <v>0</v>
      </c>
      <c r="Q17" s="20">
        <v>6.0017631045865608E-4</v>
      </c>
      <c r="R17" s="20">
        <v>8.7535328559739348E-2</v>
      </c>
      <c r="S17" s="20">
        <v>2.8912969312551721E-2</v>
      </c>
      <c r="T17" s="20">
        <v>5.1389501567068044E-3</v>
      </c>
      <c r="U17" s="20">
        <v>9.3260374552273286E-3</v>
      </c>
      <c r="V17" s="20">
        <v>0.10949653594902774</v>
      </c>
      <c r="W17" s="20">
        <v>1</v>
      </c>
      <c r="Y17" s="2">
        <v>11</v>
      </c>
      <c r="Z17" s="2" t="str">
        <f>VLOOKUP(Y17,WLs!$A$4:$C$23,3,FALSE)</f>
        <v>Vaarten hoge afdeling ZOF</v>
      </c>
      <c r="AA17" s="20">
        <v>7.3630626361729429E-2</v>
      </c>
      <c r="AB17" s="20">
        <v>2.0956444315578856E-3</v>
      </c>
      <c r="AC17" s="20">
        <v>0</v>
      </c>
      <c r="AD17" s="20">
        <v>1.0100992663025375E-4</v>
      </c>
      <c r="AE17" s="20">
        <v>4.3545623988520889E-2</v>
      </c>
      <c r="AF17" s="20">
        <v>3.5333386987170423E-2</v>
      </c>
      <c r="AG17" s="20">
        <v>3.2859020497506872E-2</v>
      </c>
      <c r="AH17" s="20">
        <v>0.46430470857288497</v>
      </c>
      <c r="AI17" s="20">
        <v>1.9482403147208831E-2</v>
      </c>
      <c r="AJ17" s="20">
        <v>1.4533550916842841E-4</v>
      </c>
      <c r="AK17" s="20">
        <v>6.9374734346577295E-3</v>
      </c>
      <c r="AL17" s="20">
        <v>3.5715950507120564E-2</v>
      </c>
      <c r="AM17" s="20">
        <v>0</v>
      </c>
      <c r="AN17" s="20">
        <v>0</v>
      </c>
      <c r="AO17" s="20">
        <v>1.3099153917321296E-3</v>
      </c>
      <c r="AP17" s="20">
        <v>0.20585309235785304</v>
      </c>
      <c r="AQ17" s="20">
        <v>2.1300301667961596E-2</v>
      </c>
      <c r="AR17" s="20">
        <v>5.0048729260737902E-3</v>
      </c>
      <c r="AS17" s="20">
        <v>3.4157110177756569E-3</v>
      </c>
      <c r="AT17" s="20">
        <v>4.8964923274447326E-2</v>
      </c>
      <c r="AU17" s="20">
        <f t="shared" si="0"/>
        <v>0.99999999999999978</v>
      </c>
    </row>
    <row r="18" spans="1:47" x14ac:dyDescent="0.3">
      <c r="A18" s="2">
        <v>12</v>
      </c>
      <c r="B18" s="2" t="s">
        <v>233</v>
      </c>
      <c r="C18" s="20">
        <v>0.10698628948225931</v>
      </c>
      <c r="D18" s="20">
        <v>1.532107179836669E-3</v>
      </c>
      <c r="E18" s="20">
        <v>0</v>
      </c>
      <c r="F18" s="20">
        <v>9.0082375370916298E-5</v>
      </c>
      <c r="G18" s="20">
        <v>3.4110938565920811E-2</v>
      </c>
      <c r="H18" s="20">
        <v>4.6388466890306679E-2</v>
      </c>
      <c r="I18" s="20">
        <v>2.0685865396157861E-2</v>
      </c>
      <c r="J18" s="20">
        <v>0.34761444741985009</v>
      </c>
      <c r="K18" s="20">
        <v>1.267993633503652E-2</v>
      </c>
      <c r="L18" s="20">
        <v>1.0265943799995793E-2</v>
      </c>
      <c r="M18" s="20">
        <v>5.6271244255393406E-3</v>
      </c>
      <c r="N18" s="20">
        <v>0.24982947128760466</v>
      </c>
      <c r="O18" s="20">
        <v>3.008154042366267E-3</v>
      </c>
      <c r="P18" s="20">
        <v>0</v>
      </c>
      <c r="Q18" s="20">
        <v>1.1179429536301232E-3</v>
      </c>
      <c r="R18" s="20">
        <v>5.8959109355125543E-2</v>
      </c>
      <c r="S18" s="20">
        <v>5.0696609818294366E-2</v>
      </c>
      <c r="T18" s="20">
        <v>3.4825726474842214E-3</v>
      </c>
      <c r="U18" s="20">
        <v>7.2879919333778929E-3</v>
      </c>
      <c r="V18" s="20">
        <v>3.9636946091842977E-2</v>
      </c>
      <c r="W18" s="20">
        <v>1.0000000000000002</v>
      </c>
      <c r="Y18" s="2">
        <v>12</v>
      </c>
      <c r="Z18" s="2" t="str">
        <f>VLOOKUP(Y18,WLs!$A$4:$C$23,3,FALSE)</f>
        <v>Vaarten lage afdeling ZOF</v>
      </c>
      <c r="AA18" s="20">
        <v>6.7699674482619057E-2</v>
      </c>
      <c r="AB18" s="20">
        <v>1.0293292225080691E-3</v>
      </c>
      <c r="AC18" s="20">
        <v>0</v>
      </c>
      <c r="AD18" s="20">
        <v>7.7926397024621633E-5</v>
      </c>
      <c r="AE18" s="20">
        <v>2.1574509000250094E-2</v>
      </c>
      <c r="AF18" s="20">
        <v>2.9468451433819556E-2</v>
      </c>
      <c r="AG18" s="20">
        <v>1.4561200520574096E-2</v>
      </c>
      <c r="AH18" s="20">
        <v>0.38586077019332921</v>
      </c>
      <c r="AI18" s="20">
        <v>1.0170860570612188E-2</v>
      </c>
      <c r="AJ18" s="20">
        <v>5.8793771665857381E-3</v>
      </c>
      <c r="AK18" s="20">
        <v>5.7196978716131056E-3</v>
      </c>
      <c r="AL18" s="20">
        <v>0.25159015568551124</v>
      </c>
      <c r="AM18" s="20">
        <v>0</v>
      </c>
      <c r="AN18" s="20">
        <v>0</v>
      </c>
      <c r="AO18" s="20">
        <v>2.3307071193751942E-3</v>
      </c>
      <c r="AP18" s="20">
        <v>0.14624587792698709</v>
      </c>
      <c r="AQ18" s="20">
        <v>3.8644913561435131E-2</v>
      </c>
      <c r="AR18" s="20">
        <v>3.4724457461042884E-3</v>
      </c>
      <c r="AS18" s="20">
        <v>4.0386957463675738E-3</v>
      </c>
      <c r="AT18" s="20">
        <v>1.1635407355283839E-2</v>
      </c>
      <c r="AU18" s="20">
        <f t="shared" si="0"/>
        <v>1.0000000000000002</v>
      </c>
    </row>
    <row r="22" spans="1:47" x14ac:dyDescent="0.3">
      <c r="A22" s="133" t="s">
        <v>474</v>
      </c>
      <c r="Y22" s="133" t="s">
        <v>475</v>
      </c>
    </row>
    <row r="23" spans="1:47" ht="121.2" x14ac:dyDescent="0.3">
      <c r="A23" s="1" t="s">
        <v>149</v>
      </c>
      <c r="B23" s="1" t="s">
        <v>152</v>
      </c>
      <c r="C23" s="91" t="s">
        <v>93</v>
      </c>
      <c r="D23" s="91" t="s">
        <v>94</v>
      </c>
      <c r="E23" s="91" t="s">
        <v>95</v>
      </c>
      <c r="F23" s="91" t="s">
        <v>96</v>
      </c>
      <c r="G23" s="91" t="s">
        <v>97</v>
      </c>
      <c r="H23" s="91" t="s">
        <v>98</v>
      </c>
      <c r="I23" s="91" t="s">
        <v>99</v>
      </c>
      <c r="J23" s="91" t="s">
        <v>100</v>
      </c>
      <c r="K23" s="91" t="s">
        <v>101</v>
      </c>
      <c r="L23" s="91" t="s">
        <v>102</v>
      </c>
      <c r="M23" s="91" t="s">
        <v>103</v>
      </c>
      <c r="N23" s="91" t="s">
        <v>104</v>
      </c>
      <c r="O23" s="91" t="s">
        <v>105</v>
      </c>
      <c r="P23" s="91" t="s">
        <v>106</v>
      </c>
      <c r="Q23" s="91" t="s">
        <v>107</v>
      </c>
      <c r="R23" s="91" t="s">
        <v>108</v>
      </c>
      <c r="S23" s="91" t="s">
        <v>109</v>
      </c>
      <c r="T23" s="91" t="s">
        <v>110</v>
      </c>
      <c r="U23" s="91" t="s">
        <v>111</v>
      </c>
      <c r="V23" s="91" t="s">
        <v>112</v>
      </c>
      <c r="W23" s="91" t="s">
        <v>471</v>
      </c>
      <c r="Y23" s="1" t="s">
        <v>149</v>
      </c>
      <c r="Z23" s="1" t="s">
        <v>152</v>
      </c>
      <c r="AA23" s="91" t="s">
        <v>93</v>
      </c>
      <c r="AB23" s="91" t="s">
        <v>94</v>
      </c>
      <c r="AC23" s="91" t="s">
        <v>95</v>
      </c>
      <c r="AD23" s="91" t="s">
        <v>96</v>
      </c>
      <c r="AE23" s="91" t="s">
        <v>97</v>
      </c>
      <c r="AF23" s="91" t="s">
        <v>98</v>
      </c>
      <c r="AG23" s="91" t="s">
        <v>99</v>
      </c>
      <c r="AH23" s="91" t="s">
        <v>100</v>
      </c>
      <c r="AI23" s="91" t="s">
        <v>101</v>
      </c>
      <c r="AJ23" s="91" t="s">
        <v>102</v>
      </c>
      <c r="AK23" s="91" t="s">
        <v>103</v>
      </c>
      <c r="AL23" s="91" t="s">
        <v>104</v>
      </c>
      <c r="AM23" s="91" t="s">
        <v>105</v>
      </c>
      <c r="AN23" s="91" t="s">
        <v>106</v>
      </c>
      <c r="AO23" s="91" t="s">
        <v>107</v>
      </c>
      <c r="AP23" s="91" t="s">
        <v>108</v>
      </c>
      <c r="AQ23" s="91" t="s">
        <v>109</v>
      </c>
      <c r="AR23" s="91" t="s">
        <v>110</v>
      </c>
      <c r="AS23" s="91" t="s">
        <v>111</v>
      </c>
      <c r="AT23" s="91" t="s">
        <v>112</v>
      </c>
      <c r="AU23" s="91" t="s">
        <v>472</v>
      </c>
    </row>
    <row r="24" spans="1:47" x14ac:dyDescent="0.3">
      <c r="A24" s="2">
        <v>1</v>
      </c>
      <c r="B24" s="2" t="s">
        <v>186</v>
      </c>
      <c r="C24" s="20">
        <v>5.368287520446318E-2</v>
      </c>
      <c r="D24" s="20">
        <v>7.6837436884298295E-3</v>
      </c>
      <c r="E24" s="20">
        <v>0</v>
      </c>
      <c r="F24" s="20">
        <v>1.6740467693763839E-4</v>
      </c>
      <c r="G24" s="20">
        <v>7.8185612343480981E-2</v>
      </c>
      <c r="H24" s="20">
        <v>2.4652292666091053E-2</v>
      </c>
      <c r="I24" s="20">
        <v>0.24750286542197733</v>
      </c>
      <c r="J24" s="20">
        <v>0.52479718128160491</v>
      </c>
      <c r="K24" s="20">
        <v>3.2232793896104103E-2</v>
      </c>
      <c r="L24" s="20">
        <v>0</v>
      </c>
      <c r="M24" s="20">
        <v>8.1993002206503171E-3</v>
      </c>
      <c r="N24" s="20">
        <v>0</v>
      </c>
      <c r="O24" s="20">
        <v>0</v>
      </c>
      <c r="P24" s="20">
        <v>0</v>
      </c>
      <c r="Q24" s="20">
        <v>5.5641533996217364E-4</v>
      </c>
      <c r="R24" s="20">
        <v>1.3062191574079758E-2</v>
      </c>
      <c r="S24" s="20">
        <v>2.5288571044772045E-3</v>
      </c>
      <c r="T24" s="20">
        <v>0</v>
      </c>
      <c r="U24" s="20">
        <v>6.748466581741489E-3</v>
      </c>
      <c r="V24" s="20">
        <v>0</v>
      </c>
      <c r="W24" s="20">
        <v>0.99999999999999978</v>
      </c>
      <c r="Y24" s="2">
        <v>1</v>
      </c>
      <c r="Z24" s="2" t="str">
        <f>VLOOKUP(Y24,WLs!$A$4:$C$23,3,FALSE)</f>
        <v>Tochten ABC1</v>
      </c>
      <c r="AA24" s="20">
        <v>5.1291153997838859E-2</v>
      </c>
      <c r="AB24" s="20">
        <v>7.1741717838717288E-3</v>
      </c>
      <c r="AC24" s="20">
        <v>0</v>
      </c>
      <c r="AD24" s="20">
        <v>1.4738242882544401E-4</v>
      </c>
      <c r="AE24" s="20">
        <v>7.7556449772599484E-2</v>
      </c>
      <c r="AF24" s="20">
        <v>2.2118089169472555E-2</v>
      </c>
      <c r="AG24" s="20">
        <v>0.20876155120447829</v>
      </c>
      <c r="AH24" s="20">
        <v>0.55419645321131561</v>
      </c>
      <c r="AI24" s="20">
        <v>2.4267231713347635E-2</v>
      </c>
      <c r="AJ24" s="20">
        <v>1.3390102952251205E-5</v>
      </c>
      <c r="AK24" s="20">
        <v>8.3767537902339727E-3</v>
      </c>
      <c r="AL24" s="20">
        <v>0</v>
      </c>
      <c r="AM24" s="20">
        <v>0</v>
      </c>
      <c r="AN24" s="20">
        <v>0</v>
      </c>
      <c r="AO24" s="20">
        <v>1.2153804379595383E-3</v>
      </c>
      <c r="AP24" s="20">
        <v>3.8089157937653974E-2</v>
      </c>
      <c r="AQ24" s="20">
        <v>2.8203064579382757E-3</v>
      </c>
      <c r="AR24" s="20">
        <v>0</v>
      </c>
      <c r="AS24" s="20">
        <v>3.9725279915124746E-3</v>
      </c>
      <c r="AT24" s="20">
        <v>0</v>
      </c>
      <c r="AU24" s="20">
        <f>SUM(AA24:AT24)</f>
        <v>1</v>
      </c>
    </row>
    <row r="25" spans="1:47" x14ac:dyDescent="0.3">
      <c r="A25" s="2">
        <v>2</v>
      </c>
      <c r="B25" s="2" t="s">
        <v>193</v>
      </c>
      <c r="C25" s="20">
        <v>0.18048433051830873</v>
      </c>
      <c r="D25" s="20">
        <v>9.2822117305572001E-3</v>
      </c>
      <c r="E25" s="20">
        <v>0</v>
      </c>
      <c r="F25" s="20">
        <v>3.0040994056817919E-4</v>
      </c>
      <c r="G25" s="20">
        <v>0.14637456264477403</v>
      </c>
      <c r="H25" s="20">
        <v>8.8020341633754329E-2</v>
      </c>
      <c r="I25" s="20">
        <v>6.1451293324771956E-2</v>
      </c>
      <c r="J25" s="20">
        <v>0.46014439400193224</v>
      </c>
      <c r="K25" s="20">
        <v>2.7384638315895313E-2</v>
      </c>
      <c r="L25" s="20">
        <v>0</v>
      </c>
      <c r="M25" s="20">
        <v>7.3416425272188031E-3</v>
      </c>
      <c r="N25" s="20">
        <v>0</v>
      </c>
      <c r="O25" s="20">
        <v>0</v>
      </c>
      <c r="P25" s="20">
        <v>0</v>
      </c>
      <c r="Q25" s="20">
        <v>5.1438853460034756E-4</v>
      </c>
      <c r="R25" s="20">
        <v>1.0601634971318911E-2</v>
      </c>
      <c r="S25" s="20">
        <v>2.4243853783659556E-3</v>
      </c>
      <c r="T25" s="20">
        <v>0</v>
      </c>
      <c r="U25" s="20">
        <v>5.6757664779339256E-3</v>
      </c>
      <c r="V25" s="20">
        <v>0</v>
      </c>
      <c r="W25" s="20">
        <v>0.99999999999999989</v>
      </c>
      <c r="Y25" s="2">
        <v>2</v>
      </c>
      <c r="Z25" s="2" t="str">
        <f>VLOOKUP(Y25,WLs!$A$4:$C$23,3,FALSE)</f>
        <v>Tochten ABC2</v>
      </c>
      <c r="AA25" s="20">
        <v>0.17090028035153285</v>
      </c>
      <c r="AB25" s="20">
        <v>8.3152419085909118E-3</v>
      </c>
      <c r="AC25" s="20">
        <v>0</v>
      </c>
      <c r="AD25" s="20">
        <v>3.0482488889816952E-4</v>
      </c>
      <c r="AE25" s="20">
        <v>0.13562912745295475</v>
      </c>
      <c r="AF25" s="20">
        <v>7.9707275684092291E-2</v>
      </c>
      <c r="AG25" s="20">
        <v>5.3725728071126182E-2</v>
      </c>
      <c r="AH25" s="20">
        <v>0.48513730450787523</v>
      </c>
      <c r="AI25" s="20">
        <v>2.0764899973721201E-2</v>
      </c>
      <c r="AJ25" s="20">
        <v>1.0782040441916852E-5</v>
      </c>
      <c r="AK25" s="20">
        <v>7.4758378446396767E-3</v>
      </c>
      <c r="AL25" s="20">
        <v>0</v>
      </c>
      <c r="AM25" s="20">
        <v>0</v>
      </c>
      <c r="AN25" s="20">
        <v>0</v>
      </c>
      <c r="AO25" s="20">
        <v>1.1221733696071953E-3</v>
      </c>
      <c r="AP25" s="20">
        <v>3.069815911097349E-2</v>
      </c>
      <c r="AQ25" s="20">
        <v>2.6799743634678725E-3</v>
      </c>
      <c r="AR25" s="20">
        <v>0</v>
      </c>
      <c r="AS25" s="20">
        <v>3.528390432078391E-3</v>
      </c>
      <c r="AT25" s="20">
        <v>0</v>
      </c>
      <c r="AU25" s="20">
        <f t="shared" ref="AU25:AU36" si="1">SUM(AA25:AT25)</f>
        <v>1.0000000000000002</v>
      </c>
    </row>
    <row r="26" spans="1:47" x14ac:dyDescent="0.3">
      <c r="A26" s="2">
        <v>3</v>
      </c>
      <c r="B26" s="2" t="s">
        <v>197</v>
      </c>
      <c r="C26" s="20">
        <v>5.1242264788588038E-2</v>
      </c>
      <c r="D26" s="20">
        <v>3.0049812403183775E-3</v>
      </c>
      <c r="E26" s="20">
        <v>0</v>
      </c>
      <c r="F26" s="20">
        <v>5.5435359559641759E-5</v>
      </c>
      <c r="G26" s="20">
        <v>9.9175186410966121E-2</v>
      </c>
      <c r="H26" s="20">
        <v>1.6649679812759811E-2</v>
      </c>
      <c r="I26" s="20">
        <v>0.2526076363345835</v>
      </c>
      <c r="J26" s="20">
        <v>4.8687723259790587E-2</v>
      </c>
      <c r="K26" s="20">
        <v>1.0928463766481693E-2</v>
      </c>
      <c r="L26" s="20">
        <v>5.9191225472408416E-4</v>
      </c>
      <c r="M26" s="20">
        <v>3.7826914087673216E-3</v>
      </c>
      <c r="N26" s="20">
        <v>0</v>
      </c>
      <c r="O26" s="20">
        <v>0</v>
      </c>
      <c r="P26" s="20">
        <v>0</v>
      </c>
      <c r="Q26" s="20">
        <v>0</v>
      </c>
      <c r="R26" s="20">
        <v>0.36486620828942501</v>
      </c>
      <c r="S26" s="20">
        <v>0.10365882044597036</v>
      </c>
      <c r="T26" s="20">
        <v>1.1021949038052606E-3</v>
      </c>
      <c r="U26" s="20">
        <v>3.7581026785198479E-2</v>
      </c>
      <c r="V26" s="20">
        <v>6.065774939061774E-3</v>
      </c>
      <c r="W26" s="20">
        <v>1</v>
      </c>
      <c r="Y26" s="2">
        <v>3</v>
      </c>
      <c r="Z26" s="2" t="str">
        <f>VLOOKUP(Y26,WLs!$A$4:$C$23,3,FALSE)</f>
        <v>Tochten DE Almere</v>
      </c>
      <c r="AA26" s="20">
        <v>3.6169738659060806E-2</v>
      </c>
      <c r="AB26" s="20">
        <v>2.5646545988610046E-3</v>
      </c>
      <c r="AC26" s="20">
        <v>0</v>
      </c>
      <c r="AD26" s="20">
        <v>4.235670157188453E-5</v>
      </c>
      <c r="AE26" s="20">
        <v>6.6327849196568631E-2</v>
      </c>
      <c r="AF26" s="20">
        <v>1.1753749581615743E-2</v>
      </c>
      <c r="AG26" s="20">
        <v>0.18557649608875387</v>
      </c>
      <c r="AH26" s="20">
        <v>3.6696811489417065E-2</v>
      </c>
      <c r="AI26" s="20">
        <v>5.7522297791095869E-3</v>
      </c>
      <c r="AJ26" s="20">
        <v>4.057127359356254E-4</v>
      </c>
      <c r="AK26" s="20">
        <v>2.1530066171043384E-3</v>
      </c>
      <c r="AL26" s="20">
        <v>0</v>
      </c>
      <c r="AM26" s="20">
        <v>0</v>
      </c>
      <c r="AN26" s="20">
        <v>0</v>
      </c>
      <c r="AO26" s="20">
        <v>0</v>
      </c>
      <c r="AP26" s="20">
        <v>0.58958012561549211</v>
      </c>
      <c r="AQ26" s="20">
        <v>5.0170891855575772E-2</v>
      </c>
      <c r="AR26" s="20">
        <v>7.3639309300321831E-4</v>
      </c>
      <c r="AS26" s="20">
        <v>2.6820375801049753E-3</v>
      </c>
      <c r="AT26" s="20">
        <v>9.3879464078252452E-3</v>
      </c>
      <c r="AU26" s="20">
        <f t="shared" si="1"/>
        <v>0.99999999999999989</v>
      </c>
    </row>
    <row r="27" spans="1:47" x14ac:dyDescent="0.3">
      <c r="A27" s="2">
        <v>4</v>
      </c>
      <c r="B27" s="2" t="s">
        <v>201</v>
      </c>
      <c r="C27" s="20">
        <v>0.2141309666586334</v>
      </c>
      <c r="D27" s="20">
        <v>9.8685166893427261E-3</v>
      </c>
      <c r="E27" s="20">
        <v>0</v>
      </c>
      <c r="F27" s="20">
        <v>3.5922359627607136E-4</v>
      </c>
      <c r="G27" s="20">
        <v>7.8559549360371142E-2</v>
      </c>
      <c r="H27" s="20">
        <v>0.13395467370003311</v>
      </c>
      <c r="I27" s="20">
        <v>9.4237331403424704E-2</v>
      </c>
      <c r="J27" s="20">
        <v>0.22226475217640987</v>
      </c>
      <c r="K27" s="20">
        <v>5.9337451331399962E-2</v>
      </c>
      <c r="L27" s="20">
        <v>5.4289567652923232E-4</v>
      </c>
      <c r="M27" s="20">
        <v>8.9744330566522545E-3</v>
      </c>
      <c r="N27" s="20">
        <v>0</v>
      </c>
      <c r="O27" s="20">
        <v>0</v>
      </c>
      <c r="P27" s="20">
        <v>0</v>
      </c>
      <c r="Q27" s="20">
        <v>0</v>
      </c>
      <c r="R27" s="20">
        <v>0.16852194752005828</v>
      </c>
      <c r="S27" s="20">
        <v>4.1977059704060137E-3</v>
      </c>
      <c r="T27" s="20">
        <v>1.4558789769891409E-3</v>
      </c>
      <c r="U27" s="20">
        <v>3.5946738834740453E-3</v>
      </c>
      <c r="V27" s="20">
        <v>0</v>
      </c>
      <c r="W27" s="20">
        <v>0.99999999999999978</v>
      </c>
      <c r="Y27" s="2">
        <v>4</v>
      </c>
      <c r="Z27" s="2" t="str">
        <f>VLOOKUP(Y27,WLs!$A$4:$C$23,3,FALSE)</f>
        <v>Tochten DE Zuidlob</v>
      </c>
      <c r="AA27" s="20">
        <v>0.18335567893137736</v>
      </c>
      <c r="AB27" s="20">
        <v>8.3087565672927115E-3</v>
      </c>
      <c r="AC27" s="20">
        <v>0</v>
      </c>
      <c r="AD27" s="20">
        <v>3.4442634360352828E-4</v>
      </c>
      <c r="AE27" s="20">
        <v>6.3310662425755351E-2</v>
      </c>
      <c r="AF27" s="20">
        <v>0.11443929226525047</v>
      </c>
      <c r="AG27" s="20">
        <v>7.1347307263443099E-2</v>
      </c>
      <c r="AH27" s="20">
        <v>0.2052361674191156</v>
      </c>
      <c r="AI27" s="20">
        <v>3.8263124765755732E-2</v>
      </c>
      <c r="AJ27" s="20">
        <v>2.1081410204023594E-4</v>
      </c>
      <c r="AK27" s="20">
        <v>7.9102849066920809E-3</v>
      </c>
      <c r="AL27" s="20">
        <v>0</v>
      </c>
      <c r="AM27" s="20">
        <v>0</v>
      </c>
      <c r="AN27" s="20">
        <v>0</v>
      </c>
      <c r="AO27" s="20">
        <v>0</v>
      </c>
      <c r="AP27" s="20">
        <v>0.29962937246901883</v>
      </c>
      <c r="AQ27" s="20">
        <v>3.7266404970753386E-3</v>
      </c>
      <c r="AR27" s="20">
        <v>1.1913929378210523E-3</v>
      </c>
      <c r="AS27" s="20">
        <v>2.7260791057586642E-3</v>
      </c>
      <c r="AT27" s="20">
        <v>0</v>
      </c>
      <c r="AU27" s="20">
        <f t="shared" si="1"/>
        <v>1</v>
      </c>
    </row>
    <row r="28" spans="1:47" x14ac:dyDescent="0.3">
      <c r="A28" s="2">
        <v>5</v>
      </c>
      <c r="B28" s="2" t="s">
        <v>204</v>
      </c>
      <c r="C28" s="20">
        <v>0.33302280442229298</v>
      </c>
      <c r="D28" s="20">
        <v>4.1253339750015675E-3</v>
      </c>
      <c r="E28" s="20">
        <v>0</v>
      </c>
      <c r="F28" s="20">
        <v>3.2435041302159771E-4</v>
      </c>
      <c r="G28" s="20">
        <v>7.4350110009196307E-2</v>
      </c>
      <c r="H28" s="20">
        <v>0.14509424464306889</v>
      </c>
      <c r="I28" s="20">
        <v>3.5535294901279553E-2</v>
      </c>
      <c r="J28" s="20">
        <v>0.27060635578861797</v>
      </c>
      <c r="K28" s="20">
        <v>2.3175525557375475E-2</v>
      </c>
      <c r="L28" s="20">
        <v>1.9764917244531877E-6</v>
      </c>
      <c r="M28" s="20">
        <v>8.4249015637579572E-3</v>
      </c>
      <c r="N28" s="20">
        <v>2.5823076865016844E-4</v>
      </c>
      <c r="O28" s="20">
        <v>0</v>
      </c>
      <c r="P28" s="20">
        <v>0</v>
      </c>
      <c r="Q28" s="20">
        <v>5.0237519112270682E-6</v>
      </c>
      <c r="R28" s="20">
        <v>7.9956674712058792E-2</v>
      </c>
      <c r="S28" s="20">
        <v>1.570318955433974E-2</v>
      </c>
      <c r="T28" s="20">
        <v>5.9048878803465282E-5</v>
      </c>
      <c r="U28" s="20">
        <v>7.3196149755733403E-3</v>
      </c>
      <c r="V28" s="20">
        <v>2.0373195933265182E-3</v>
      </c>
      <c r="W28" s="20">
        <v>1</v>
      </c>
      <c r="Y28" s="2">
        <v>5</v>
      </c>
      <c r="Z28" s="2" t="str">
        <f>VLOOKUP(Y28,WLs!$A$4:$C$23,3,FALSE)</f>
        <v>Tochten FGIK</v>
      </c>
      <c r="AA28" s="20">
        <v>0.29542560357809733</v>
      </c>
      <c r="AB28" s="20">
        <v>3.711411197212992E-3</v>
      </c>
      <c r="AC28" s="20">
        <v>0</v>
      </c>
      <c r="AD28" s="20">
        <v>3.1787226894984495E-4</v>
      </c>
      <c r="AE28" s="20">
        <v>6.2415380540111413E-2</v>
      </c>
      <c r="AF28" s="20">
        <v>0.12803567945064873</v>
      </c>
      <c r="AG28" s="20">
        <v>3.5937248956582173E-2</v>
      </c>
      <c r="AH28" s="20">
        <v>0.26787912625876203</v>
      </c>
      <c r="AI28" s="20">
        <v>1.5058282620742283E-2</v>
      </c>
      <c r="AJ28" s="20">
        <v>5.9108489423141795E-5</v>
      </c>
      <c r="AK28" s="20">
        <v>7.6187886573380508E-3</v>
      </c>
      <c r="AL28" s="20">
        <v>7.403565538623109E-4</v>
      </c>
      <c r="AM28" s="20">
        <v>0</v>
      </c>
      <c r="AN28" s="20">
        <v>0</v>
      </c>
      <c r="AO28" s="20">
        <v>1.9904039752112722E-5</v>
      </c>
      <c r="AP28" s="20">
        <v>0.16094211058068711</v>
      </c>
      <c r="AQ28" s="20">
        <v>1.4697285146169647E-2</v>
      </c>
      <c r="AR28" s="20">
        <v>1.0369662917240435E-4</v>
      </c>
      <c r="AS28" s="20">
        <v>5.5518121620488064E-3</v>
      </c>
      <c r="AT28" s="20">
        <v>1.4863328704398436E-3</v>
      </c>
      <c r="AU28" s="20">
        <f t="shared" si="1"/>
        <v>1</v>
      </c>
    </row>
    <row r="29" spans="1:47" x14ac:dyDescent="0.3">
      <c r="A29" s="2">
        <v>6</v>
      </c>
      <c r="B29" s="2" t="s">
        <v>208</v>
      </c>
      <c r="C29" s="20">
        <v>0.3650093726429009</v>
      </c>
      <c r="D29" s="20">
        <v>2.8586986269397846E-3</v>
      </c>
      <c r="E29" s="20">
        <v>0</v>
      </c>
      <c r="F29" s="20">
        <v>2.7612529966293206E-4</v>
      </c>
      <c r="G29" s="20">
        <v>2.9942772119760808E-2</v>
      </c>
      <c r="H29" s="20">
        <v>0.17557600128141373</v>
      </c>
      <c r="I29" s="20">
        <v>1.4667755991942802E-2</v>
      </c>
      <c r="J29" s="20">
        <v>0.32544629260104502</v>
      </c>
      <c r="K29" s="20">
        <v>1.6417711510320246E-2</v>
      </c>
      <c r="L29" s="20">
        <v>5.7500426974440308E-4</v>
      </c>
      <c r="M29" s="20">
        <v>1.0301270663935481E-2</v>
      </c>
      <c r="N29" s="20">
        <v>4.3011381184527402E-3</v>
      </c>
      <c r="O29" s="20">
        <v>0</v>
      </c>
      <c r="P29" s="20">
        <v>0</v>
      </c>
      <c r="Q29" s="20">
        <v>6.8355961171010491E-4</v>
      </c>
      <c r="R29" s="20">
        <v>2.0168413905999195E-2</v>
      </c>
      <c r="S29" s="20">
        <v>5.5541864776128616E-3</v>
      </c>
      <c r="T29" s="20">
        <v>9.8719322671284612E-4</v>
      </c>
      <c r="U29" s="20">
        <v>9.750787209159742E-3</v>
      </c>
      <c r="V29" s="20">
        <v>1.7483716442686599E-2</v>
      </c>
      <c r="W29" s="20">
        <v>1.0000000000000002</v>
      </c>
      <c r="Y29" s="2">
        <v>6</v>
      </c>
      <c r="Z29" s="2" t="str">
        <f>VLOOKUP(Y29,WLs!$A$4:$C$23,3,FALSE)</f>
        <v>Tochten H</v>
      </c>
      <c r="AA29" s="20">
        <v>0.33928287487366227</v>
      </c>
      <c r="AB29" s="20">
        <v>3.0752611314113359E-3</v>
      </c>
      <c r="AC29" s="20">
        <v>0</v>
      </c>
      <c r="AD29" s="20">
        <v>3.0671246390369308E-4</v>
      </c>
      <c r="AE29" s="20">
        <v>2.5439104731968479E-2</v>
      </c>
      <c r="AF29" s="20">
        <v>0.16318450231321247</v>
      </c>
      <c r="AG29" s="20">
        <v>1.3065876574151722E-2</v>
      </c>
      <c r="AH29" s="20">
        <v>0.347744462323265</v>
      </c>
      <c r="AI29" s="20">
        <v>1.4337112067067189E-2</v>
      </c>
      <c r="AJ29" s="20">
        <v>4.76905234767305E-4</v>
      </c>
      <c r="AK29" s="20">
        <v>1.037534195659465E-2</v>
      </c>
      <c r="AL29" s="20">
        <v>7.4261615587092921E-3</v>
      </c>
      <c r="AM29" s="20">
        <v>0</v>
      </c>
      <c r="AN29" s="20">
        <v>0</v>
      </c>
      <c r="AO29" s="20">
        <v>1.4274023324843197E-3</v>
      </c>
      <c r="AP29" s="20">
        <v>5.2984670339145092E-2</v>
      </c>
      <c r="AQ29" s="20">
        <v>4.4572655389431923E-3</v>
      </c>
      <c r="AR29" s="20">
        <v>1.0473113464741517E-3</v>
      </c>
      <c r="AS29" s="20">
        <v>6.2230737465436602E-3</v>
      </c>
      <c r="AT29" s="20">
        <v>9.1459614676961884E-3</v>
      </c>
      <c r="AU29" s="20">
        <f t="shared" si="1"/>
        <v>0.99999999999999989</v>
      </c>
    </row>
    <row r="30" spans="1:47" x14ac:dyDescent="0.3">
      <c r="A30" s="2">
        <v>7</v>
      </c>
      <c r="B30" s="2" t="s">
        <v>212</v>
      </c>
      <c r="C30" s="20">
        <v>0.29607890824594923</v>
      </c>
      <c r="D30" s="20">
        <v>6.3363082481417334E-3</v>
      </c>
      <c r="E30" s="20">
        <v>0</v>
      </c>
      <c r="F30" s="20">
        <v>2.9971450693423555E-4</v>
      </c>
      <c r="G30" s="20">
        <v>0.20713043859759508</v>
      </c>
      <c r="H30" s="20">
        <v>7.4174699240152658E-2</v>
      </c>
      <c r="I30" s="20">
        <v>5.3509384987911315E-2</v>
      </c>
      <c r="J30" s="20">
        <v>0.23907312955925547</v>
      </c>
      <c r="K30" s="20">
        <v>2.3774455466628777E-2</v>
      </c>
      <c r="L30" s="20">
        <v>1.4398399322468621E-4</v>
      </c>
      <c r="M30" s="20">
        <v>1.0657799952182469E-2</v>
      </c>
      <c r="N30" s="20">
        <v>0</v>
      </c>
      <c r="O30" s="20">
        <v>0</v>
      </c>
      <c r="P30" s="20">
        <v>0</v>
      </c>
      <c r="Q30" s="20">
        <v>1.3439014384525481E-3</v>
      </c>
      <c r="R30" s="20">
        <v>7.1782080545803359E-2</v>
      </c>
      <c r="S30" s="20">
        <v>4.1815930475278236E-3</v>
      </c>
      <c r="T30" s="20">
        <v>8.1910085424465509E-5</v>
      </c>
      <c r="U30" s="20">
        <v>1.0667368988179797E-2</v>
      </c>
      <c r="V30" s="20">
        <v>7.643230966363116E-4</v>
      </c>
      <c r="W30" s="20">
        <v>1.0000000000000002</v>
      </c>
      <c r="Y30" s="2">
        <v>7</v>
      </c>
      <c r="Z30" s="2" t="str">
        <f>VLOOKUP(Y30,WLs!$A$4:$C$23,3,FALSE)</f>
        <v>Tochten J</v>
      </c>
      <c r="AA30" s="20">
        <v>0.2655612084362387</v>
      </c>
      <c r="AB30" s="20">
        <v>5.4636856478673095E-3</v>
      </c>
      <c r="AC30" s="20">
        <v>0</v>
      </c>
      <c r="AD30" s="20">
        <v>2.619745299589972E-4</v>
      </c>
      <c r="AE30" s="20">
        <v>0.18490438744657228</v>
      </c>
      <c r="AF30" s="20">
        <v>6.3994787834246489E-2</v>
      </c>
      <c r="AG30" s="20">
        <v>5.1227136377282406E-2</v>
      </c>
      <c r="AH30" s="20">
        <v>0.23762358825504973</v>
      </c>
      <c r="AI30" s="20">
        <v>1.6877828413812676E-2</v>
      </c>
      <c r="AJ30" s="20">
        <v>1.6184602634633516E-4</v>
      </c>
      <c r="AK30" s="20">
        <v>9.8819568304817241E-3</v>
      </c>
      <c r="AL30" s="20">
        <v>0</v>
      </c>
      <c r="AM30" s="20">
        <v>0</v>
      </c>
      <c r="AN30" s="20">
        <v>0</v>
      </c>
      <c r="AO30" s="20">
        <v>2.6269851272008155E-3</v>
      </c>
      <c r="AP30" s="20">
        <v>0.1456748245485085</v>
      </c>
      <c r="AQ30" s="20">
        <v>4.0283733737226579E-3</v>
      </c>
      <c r="AR30" s="20">
        <v>7.2196627536583134E-5</v>
      </c>
      <c r="AS30" s="20">
        <v>7.6785067988010373E-3</v>
      </c>
      <c r="AT30" s="20">
        <v>3.960713726373727E-3</v>
      </c>
      <c r="AU30" s="20">
        <f t="shared" si="1"/>
        <v>0.99999999999999989</v>
      </c>
    </row>
    <row r="31" spans="1:47" x14ac:dyDescent="0.3">
      <c r="A31" s="2">
        <v>8</v>
      </c>
      <c r="B31" s="2" t="s">
        <v>216</v>
      </c>
      <c r="C31" s="20">
        <v>0.31598457977990252</v>
      </c>
      <c r="D31" s="20">
        <v>5.0700191342475866E-2</v>
      </c>
      <c r="E31" s="20">
        <v>0</v>
      </c>
      <c r="F31" s="20">
        <v>2.8210961812286616E-4</v>
      </c>
      <c r="G31" s="20">
        <v>0.20624221011915275</v>
      </c>
      <c r="H31" s="20">
        <v>0.11913239525571799</v>
      </c>
      <c r="I31" s="20">
        <v>1.3280886451305089E-2</v>
      </c>
      <c r="J31" s="20">
        <v>0.13368146755996627</v>
      </c>
      <c r="K31" s="20">
        <v>2.1227005005443448E-2</v>
      </c>
      <c r="L31" s="20">
        <v>1.6219420185980032E-2</v>
      </c>
      <c r="M31" s="20">
        <v>9.6196301883087962E-3</v>
      </c>
      <c r="N31" s="20">
        <v>0</v>
      </c>
      <c r="O31" s="20">
        <v>0</v>
      </c>
      <c r="P31" s="20">
        <v>0</v>
      </c>
      <c r="Q31" s="20">
        <v>1.6850622719978801E-3</v>
      </c>
      <c r="R31" s="20">
        <v>4.9576942242266888E-3</v>
      </c>
      <c r="S31" s="20">
        <v>1.3646668795237028E-3</v>
      </c>
      <c r="T31" s="20">
        <v>1.5086290729168181E-5</v>
      </c>
      <c r="U31" s="20">
        <v>5.4013642122857485E-3</v>
      </c>
      <c r="V31" s="20">
        <v>0.1002062306148612</v>
      </c>
      <c r="W31" s="20">
        <v>1</v>
      </c>
      <c r="Y31" s="2">
        <v>8</v>
      </c>
      <c r="Z31" s="2" t="str">
        <f>VLOOKUP(Y31,WLs!$A$4:$C$23,3,FALSE)</f>
        <v>Tochten lage afdeling NOP</v>
      </c>
      <c r="AA31" s="20">
        <v>0.31739935190318996</v>
      </c>
      <c r="AB31" s="20">
        <v>4.6494633076678657E-2</v>
      </c>
      <c r="AC31" s="20">
        <v>0</v>
      </c>
      <c r="AD31" s="20">
        <v>3.9895611034666481E-4</v>
      </c>
      <c r="AE31" s="20">
        <v>0.2060873224155475</v>
      </c>
      <c r="AF31" s="20">
        <v>0.11435047334209712</v>
      </c>
      <c r="AG31" s="20">
        <v>1.9859738324892393E-2</v>
      </c>
      <c r="AH31" s="20">
        <v>0.15351306445504087</v>
      </c>
      <c r="AI31" s="20">
        <v>1.8796970431721648E-2</v>
      </c>
      <c r="AJ31" s="20">
        <v>1.3718731063506245E-2</v>
      </c>
      <c r="AK31" s="20">
        <v>9.6823238777549742E-3</v>
      </c>
      <c r="AL31" s="20">
        <v>8.191045955377568E-3</v>
      </c>
      <c r="AM31" s="20">
        <v>1.1880954777079647E-6</v>
      </c>
      <c r="AN31" s="20">
        <v>0</v>
      </c>
      <c r="AO31" s="20">
        <v>3.8231206263765975E-3</v>
      </c>
      <c r="AP31" s="20">
        <v>1.510570858209462E-2</v>
      </c>
      <c r="AQ31" s="20">
        <v>2.0293921822736398E-3</v>
      </c>
      <c r="AR31" s="20">
        <v>3.6159273064151939E-4</v>
      </c>
      <c r="AS31" s="20">
        <v>4.5208616566592592E-3</v>
      </c>
      <c r="AT31" s="20">
        <v>6.5665525170323188E-2</v>
      </c>
      <c r="AU31" s="20">
        <f t="shared" si="1"/>
        <v>1.0000000000000002</v>
      </c>
    </row>
    <row r="32" spans="1:47" x14ac:dyDescent="0.3">
      <c r="A32" s="2">
        <v>18</v>
      </c>
      <c r="B32" s="2" t="s">
        <v>264</v>
      </c>
      <c r="C32" s="20">
        <v>7.6595549567315159E-3</v>
      </c>
      <c r="D32" s="20">
        <v>1.036788462391107E-3</v>
      </c>
      <c r="E32" s="20">
        <v>0</v>
      </c>
      <c r="F32" s="20">
        <v>2.4475033810774735E-5</v>
      </c>
      <c r="G32" s="20">
        <v>4.0100785617785345E-3</v>
      </c>
      <c r="H32" s="20">
        <v>3.7302720142964622E-3</v>
      </c>
      <c r="I32" s="20">
        <v>0.1887652671397809</v>
      </c>
      <c r="J32" s="20">
        <v>4.0819805107353028E-3</v>
      </c>
      <c r="K32" s="20">
        <v>0</v>
      </c>
      <c r="L32" s="20">
        <v>5.9210336774609875E-3</v>
      </c>
      <c r="M32" s="20">
        <v>4.5951278125917712E-4</v>
      </c>
      <c r="N32" s="20">
        <v>0</v>
      </c>
      <c r="O32" s="20">
        <v>0</v>
      </c>
      <c r="P32" s="20">
        <v>0</v>
      </c>
      <c r="Q32" s="20">
        <v>0</v>
      </c>
      <c r="R32" s="20">
        <v>0.24177699428743624</v>
      </c>
      <c r="S32" s="20">
        <v>0.50834606936910853</v>
      </c>
      <c r="T32" s="20">
        <v>0</v>
      </c>
      <c r="U32" s="20">
        <v>3.4187973205210546E-2</v>
      </c>
      <c r="V32" s="20">
        <v>0</v>
      </c>
      <c r="W32" s="20">
        <v>1</v>
      </c>
      <c r="Y32" s="2">
        <v>18</v>
      </c>
      <c r="Z32" s="2" t="str">
        <f>VLOOKUP(Y32,WLs!$A$4:$C$23,3,FALSE)</f>
        <v>Oostvaardersplassen</v>
      </c>
      <c r="AA32" s="20">
        <v>4.4335746258608961E-3</v>
      </c>
      <c r="AB32" s="20">
        <v>5.2070942474777987E-4</v>
      </c>
      <c r="AC32" s="20">
        <v>0</v>
      </c>
      <c r="AD32" s="20">
        <v>1.711628457298654E-5</v>
      </c>
      <c r="AE32" s="20">
        <v>2.9184951882043151E-3</v>
      </c>
      <c r="AF32" s="20">
        <v>2.5433233057251393E-3</v>
      </c>
      <c r="AG32" s="20">
        <v>0.14879817406308682</v>
      </c>
      <c r="AH32" s="20">
        <v>3.7613153629679308E-3</v>
      </c>
      <c r="AI32" s="20">
        <v>5.6795776370609956E-4</v>
      </c>
      <c r="AJ32" s="20">
        <v>2.8475022879481571E-3</v>
      </c>
      <c r="AK32" s="20">
        <v>3.0936155677212138E-4</v>
      </c>
      <c r="AL32" s="20">
        <v>0</v>
      </c>
      <c r="AM32" s="20">
        <v>0</v>
      </c>
      <c r="AN32" s="20">
        <v>0</v>
      </c>
      <c r="AO32" s="20">
        <v>0</v>
      </c>
      <c r="AP32" s="20">
        <v>0.52249620557562804</v>
      </c>
      <c r="AQ32" s="20">
        <v>0.30814852330875564</v>
      </c>
      <c r="AR32" s="20">
        <v>0</v>
      </c>
      <c r="AS32" s="20">
        <v>2.6377412520239302E-3</v>
      </c>
      <c r="AT32" s="20">
        <v>0</v>
      </c>
      <c r="AU32" s="20">
        <f t="shared" si="1"/>
        <v>0.99999999999999989</v>
      </c>
    </row>
    <row r="33" spans="1:47" x14ac:dyDescent="0.3">
      <c r="A33" s="2">
        <v>9</v>
      </c>
      <c r="B33" s="2" t="s">
        <v>220</v>
      </c>
      <c r="C33" s="20">
        <v>0.32454198023237307</v>
      </c>
      <c r="D33" s="20">
        <v>8.4697619284170699E-3</v>
      </c>
      <c r="E33" s="20">
        <v>0</v>
      </c>
      <c r="F33" s="20">
        <v>2.8243249750917925E-4</v>
      </c>
      <c r="G33" s="20">
        <v>0.14386431845521244</v>
      </c>
      <c r="H33" s="20">
        <v>0.10541256138245728</v>
      </c>
      <c r="I33" s="20">
        <v>1.0608143188418866E-2</v>
      </c>
      <c r="J33" s="20">
        <v>0.13980902620223923</v>
      </c>
      <c r="K33" s="20">
        <v>3.1697259186844864E-2</v>
      </c>
      <c r="L33" s="20">
        <v>2.6126205312319201E-2</v>
      </c>
      <c r="M33" s="20">
        <v>1.065303338355668E-2</v>
      </c>
      <c r="N33" s="20">
        <v>0</v>
      </c>
      <c r="O33" s="20">
        <v>0</v>
      </c>
      <c r="P33" s="20">
        <v>0</v>
      </c>
      <c r="Q33" s="20">
        <v>6.0654950561165233E-4</v>
      </c>
      <c r="R33" s="20">
        <v>1.7523564279757924E-3</v>
      </c>
      <c r="S33" s="20">
        <v>2.4090552341520096E-4</v>
      </c>
      <c r="T33" s="20">
        <v>4.2312636865108542E-4</v>
      </c>
      <c r="U33" s="20">
        <v>4.2561623357565501E-3</v>
      </c>
      <c r="V33" s="20">
        <v>0.19125617806924181</v>
      </c>
      <c r="W33" s="20">
        <v>0.99999999999999989</v>
      </c>
      <c r="Y33" s="2">
        <v>9</v>
      </c>
      <c r="Z33" s="2" t="str">
        <f>VLOOKUP(Y33,WLs!$A$4:$C$23,3,FALSE)</f>
        <v>Tochten hoge afdeling NOP</v>
      </c>
      <c r="AA33" s="20">
        <v>0.31648210657776232</v>
      </c>
      <c r="AB33" s="20">
        <v>7.6030082192006304E-3</v>
      </c>
      <c r="AC33" s="20">
        <v>0</v>
      </c>
      <c r="AD33" s="20">
        <v>2.5346348390938565E-4</v>
      </c>
      <c r="AE33" s="20">
        <v>0.133300590186989</v>
      </c>
      <c r="AF33" s="20">
        <v>0.10035379572415902</v>
      </c>
      <c r="AG33" s="20">
        <v>1.2046979316812241E-2</v>
      </c>
      <c r="AH33" s="20">
        <v>0.15004927855436981</v>
      </c>
      <c r="AI33" s="20">
        <v>2.1235208500550513E-2</v>
      </c>
      <c r="AJ33" s="20">
        <v>1.7673303200635194E-2</v>
      </c>
      <c r="AK33" s="20">
        <v>9.6258085098852551E-3</v>
      </c>
      <c r="AL33" s="20">
        <v>1.1406354056351524E-4</v>
      </c>
      <c r="AM33" s="20">
        <v>2.1017288235458237E-8</v>
      </c>
      <c r="AN33" s="20">
        <v>0</v>
      </c>
      <c r="AO33" s="20">
        <v>1.2067735338731106E-3</v>
      </c>
      <c r="AP33" s="20">
        <v>5.4263839850971713E-3</v>
      </c>
      <c r="AQ33" s="20">
        <v>2.6818600376262613E-4</v>
      </c>
      <c r="AR33" s="20">
        <v>4.0823154414262766E-4</v>
      </c>
      <c r="AS33" s="20">
        <v>3.6659416091621849E-3</v>
      </c>
      <c r="AT33" s="20">
        <v>0.2202868564918371</v>
      </c>
      <c r="AU33" s="20">
        <f t="shared" si="1"/>
        <v>1</v>
      </c>
    </row>
    <row r="34" spans="1:47" x14ac:dyDescent="0.3">
      <c r="A34" s="2">
        <v>10</v>
      </c>
      <c r="B34" s="2" t="s">
        <v>224</v>
      </c>
      <c r="C34" s="20">
        <v>0.21347895799695216</v>
      </c>
      <c r="D34" s="20">
        <v>2.8478241509575015E-2</v>
      </c>
      <c r="E34" s="20">
        <v>0</v>
      </c>
      <c r="F34" s="20">
        <v>1.86178986871953E-4</v>
      </c>
      <c r="G34" s="20">
        <v>0.12858489704640036</v>
      </c>
      <c r="H34" s="20">
        <v>7.989888336605E-2</v>
      </c>
      <c r="I34" s="20">
        <v>1.1878672756704832E-2</v>
      </c>
      <c r="J34" s="20">
        <v>0.24080062820260537</v>
      </c>
      <c r="K34" s="20">
        <v>1.4682331711864352E-2</v>
      </c>
      <c r="L34" s="20">
        <v>1.1263785618146184E-2</v>
      </c>
      <c r="M34" s="20">
        <v>6.685655705883837E-3</v>
      </c>
      <c r="N34" s="20">
        <v>0.11079577703840855</v>
      </c>
      <c r="O34" s="20">
        <v>0</v>
      </c>
      <c r="P34" s="20">
        <v>0</v>
      </c>
      <c r="Q34" s="20">
        <v>1.4750902909162252E-3</v>
      </c>
      <c r="R34" s="20">
        <v>4.2223492485076461E-3</v>
      </c>
      <c r="S34" s="20">
        <v>1.2291455158377914E-3</v>
      </c>
      <c r="T34" s="20">
        <v>3.8275232445360973E-3</v>
      </c>
      <c r="U34" s="20">
        <v>3.8480755165234541E-3</v>
      </c>
      <c r="V34" s="20">
        <v>0.13866380624421606</v>
      </c>
      <c r="W34" s="20">
        <v>1</v>
      </c>
      <c r="Y34" s="2">
        <v>10</v>
      </c>
      <c r="Z34" s="2" t="str">
        <f>VLOOKUP(Y34,WLs!$A$4:$C$23,3,FALSE)</f>
        <v>Vaarten NOP</v>
      </c>
      <c r="AA34" s="20">
        <v>0.20515873547478508</v>
      </c>
      <c r="AB34" s="20">
        <v>2.5060860934868267E-2</v>
      </c>
      <c r="AC34" s="20">
        <v>0</v>
      </c>
      <c r="AD34" s="20">
        <v>2.7254414608901415E-4</v>
      </c>
      <c r="AE34" s="20">
        <v>0.12233475881186939</v>
      </c>
      <c r="AF34" s="20">
        <v>7.4148510598034498E-2</v>
      </c>
      <c r="AG34" s="20">
        <v>1.5166042276484347E-2</v>
      </c>
      <c r="AH34" s="20">
        <v>0.26395464800954482</v>
      </c>
      <c r="AI34" s="20">
        <v>1.2713011199325604E-2</v>
      </c>
      <c r="AJ34" s="20">
        <v>8.7760714977013661E-3</v>
      </c>
      <c r="AK34" s="20">
        <v>6.477463096100952E-3</v>
      </c>
      <c r="AL34" s="20">
        <v>0.14519577054011801</v>
      </c>
      <c r="AM34" s="20">
        <v>9.8362338995176309E-7</v>
      </c>
      <c r="AN34" s="20">
        <v>0</v>
      </c>
      <c r="AO34" s="20">
        <v>3.329126475459705E-3</v>
      </c>
      <c r="AP34" s="20">
        <v>1.2786839008348663E-2</v>
      </c>
      <c r="AQ34" s="20">
        <v>1.7113405286492596E-3</v>
      </c>
      <c r="AR34" s="20">
        <v>3.9896006965896482E-3</v>
      </c>
      <c r="AS34" s="20">
        <v>3.0208179282565657E-3</v>
      </c>
      <c r="AT34" s="20">
        <v>9.5902875154384767E-2</v>
      </c>
      <c r="AU34" s="20">
        <f t="shared" si="1"/>
        <v>0.99999999999999989</v>
      </c>
    </row>
    <row r="35" spans="1:47" x14ac:dyDescent="0.3">
      <c r="A35" s="2">
        <v>11</v>
      </c>
      <c r="B35" s="2" t="s">
        <v>229</v>
      </c>
      <c r="C35" s="20">
        <v>0.16337319572644335</v>
      </c>
      <c r="D35" s="20">
        <v>5.4211648286704378E-3</v>
      </c>
      <c r="E35" s="20">
        <v>0</v>
      </c>
      <c r="F35" s="20">
        <v>1.863512886268155E-4</v>
      </c>
      <c r="G35" s="20">
        <v>8.6553653030204111E-2</v>
      </c>
      <c r="H35" s="20">
        <v>7.9304430388095065E-2</v>
      </c>
      <c r="I35" s="20">
        <v>7.7531912712171538E-2</v>
      </c>
      <c r="J35" s="20">
        <v>0.36837589486379263</v>
      </c>
      <c r="K35" s="20">
        <v>2.1814586286979156E-2</v>
      </c>
      <c r="L35" s="20">
        <v>1.543843058635601E-4</v>
      </c>
      <c r="M35" s="20">
        <v>5.912405833694072E-3</v>
      </c>
      <c r="N35" s="20">
        <v>1.9083704729156787E-2</v>
      </c>
      <c r="O35" s="20">
        <v>0</v>
      </c>
      <c r="P35" s="20">
        <v>0</v>
      </c>
      <c r="Q35" s="20">
        <v>5.2609284946104136E-4</v>
      </c>
      <c r="R35" s="20">
        <v>7.6730303459176696E-2</v>
      </c>
      <c r="S35" s="20">
        <v>2.5344063314321374E-2</v>
      </c>
      <c r="T35" s="20">
        <v>4.5046178665633712E-3</v>
      </c>
      <c r="U35" s="20">
        <v>8.1748671740333959E-3</v>
      </c>
      <c r="V35" s="20">
        <v>5.7008371342746555E-2</v>
      </c>
      <c r="W35" s="20">
        <v>0.99999999999999978</v>
      </c>
      <c r="Y35" s="2">
        <v>11</v>
      </c>
      <c r="Z35" s="2" t="str">
        <f>VLOOKUP(Y35,WLs!$A$4:$C$23,3,FALSE)</f>
        <v>Vaarten hoge afdeling ZOF</v>
      </c>
      <c r="AA35" s="20">
        <v>0.14831897065227556</v>
      </c>
      <c r="AB35" s="20">
        <v>4.8207915611566477E-3</v>
      </c>
      <c r="AC35" s="20">
        <v>0</v>
      </c>
      <c r="AD35" s="20">
        <v>1.8376030728789981E-4</v>
      </c>
      <c r="AE35" s="20">
        <v>7.5540453644794822E-2</v>
      </c>
      <c r="AF35" s="20">
        <v>7.1204799078271333E-2</v>
      </c>
      <c r="AG35" s="20">
        <v>7.1055229018239088E-2</v>
      </c>
      <c r="AH35" s="20">
        <v>0.36883449411847002</v>
      </c>
      <c r="AI35" s="20">
        <v>1.5476436435674989E-2</v>
      </c>
      <c r="AJ35" s="20">
        <v>1.1545165924840686E-4</v>
      </c>
      <c r="AK35" s="20">
        <v>5.5109919358714392E-3</v>
      </c>
      <c r="AL35" s="20">
        <v>2.6169508133511876E-2</v>
      </c>
      <c r="AM35" s="20">
        <v>0</v>
      </c>
      <c r="AN35" s="20">
        <v>0</v>
      </c>
      <c r="AO35" s="20">
        <v>1.0405709266497246E-3</v>
      </c>
      <c r="AP35" s="20">
        <v>0.16352563258705968</v>
      </c>
      <c r="AQ35" s="20">
        <v>1.6920539131341082E-2</v>
      </c>
      <c r="AR35" s="20">
        <v>3.9757722455357773E-3</v>
      </c>
      <c r="AS35" s="20">
        <v>2.7133733990518097E-3</v>
      </c>
      <c r="AT35" s="20">
        <v>2.4593225165559802E-2</v>
      </c>
      <c r="AU35" s="20">
        <f t="shared" si="1"/>
        <v>1</v>
      </c>
    </row>
    <row r="36" spans="1:47" x14ac:dyDescent="0.3">
      <c r="A36" s="2">
        <v>12</v>
      </c>
      <c r="B36" s="2" t="s">
        <v>473</v>
      </c>
      <c r="C36" s="20">
        <v>0.15848334091030739</v>
      </c>
      <c r="D36" s="20">
        <v>2.7350794972209156E-3</v>
      </c>
      <c r="E36" s="20">
        <v>0</v>
      </c>
      <c r="F36" s="20">
        <v>1.4219101615540984E-4</v>
      </c>
      <c r="G36" s="20">
        <v>4.521403266359908E-2</v>
      </c>
      <c r="H36" s="20">
        <v>6.9143210330436577E-2</v>
      </c>
      <c r="I36" s="20">
        <v>4.0769996093588161E-2</v>
      </c>
      <c r="J36" s="20">
        <v>0.3105907996164517</v>
      </c>
      <c r="K36" s="20">
        <v>1.114114475196849E-2</v>
      </c>
      <c r="L36" s="20">
        <v>9.4990333362278984E-3</v>
      </c>
      <c r="M36" s="20">
        <v>5.0555205840621571E-3</v>
      </c>
      <c r="N36" s="20">
        <v>0.20885965116711286</v>
      </c>
      <c r="O36" s="20">
        <v>2.784776481133535E-3</v>
      </c>
      <c r="P36" s="20">
        <v>0</v>
      </c>
      <c r="Q36" s="20">
        <v>1.0232642940638666E-3</v>
      </c>
      <c r="R36" s="20">
        <v>5.2280136778906985E-2</v>
      </c>
      <c r="S36" s="20">
        <v>4.6160722287015815E-2</v>
      </c>
      <c r="T36" s="20">
        <v>3.0868777758550408E-3</v>
      </c>
      <c r="U36" s="20">
        <v>6.507296452373878E-3</v>
      </c>
      <c r="V36" s="20">
        <v>2.6522925963520159E-2</v>
      </c>
      <c r="W36" s="20">
        <v>0.99999999999999978</v>
      </c>
      <c r="Y36" s="2">
        <v>12</v>
      </c>
      <c r="Z36" s="2" t="str">
        <f>VLOOKUP(Y36,WLs!$A$4:$C$23,3,FALSE)</f>
        <v>Vaarten lage afdeling ZOF</v>
      </c>
      <c r="AA36" s="20">
        <v>0.14484623006203642</v>
      </c>
      <c r="AB36" s="20">
        <v>2.5478560143656569E-3</v>
      </c>
      <c r="AC36" s="20">
        <v>0</v>
      </c>
      <c r="AD36" s="20">
        <v>1.4380291452006255E-4</v>
      </c>
      <c r="AE36" s="20">
        <v>4.0423880501781688E-2</v>
      </c>
      <c r="AF36" s="20">
        <v>6.2826866831451736E-2</v>
      </c>
      <c r="AG36" s="20">
        <v>3.8246881676774196E-2</v>
      </c>
      <c r="AH36" s="20">
        <v>0.31934998625925776</v>
      </c>
      <c r="AI36" s="20">
        <v>8.2468841508141818E-3</v>
      </c>
      <c r="AJ36" s="20">
        <v>5.0900979686950999E-3</v>
      </c>
      <c r="AK36" s="20">
        <v>4.7646198084647312E-3</v>
      </c>
      <c r="AL36" s="20">
        <v>0.20517458127969118</v>
      </c>
      <c r="AM36" s="20">
        <v>0</v>
      </c>
      <c r="AN36" s="20">
        <v>0</v>
      </c>
      <c r="AO36" s="20">
        <v>1.9885666806879212E-3</v>
      </c>
      <c r="AP36" s="20">
        <v>0.12018695278450839</v>
      </c>
      <c r="AQ36" s="20">
        <v>3.2798317595334081E-2</v>
      </c>
      <c r="AR36" s="20">
        <v>2.8471841284999594E-3</v>
      </c>
      <c r="AS36" s="20">
        <v>3.4033790523878785E-3</v>
      </c>
      <c r="AT36" s="20">
        <v>7.1139122907292428E-3</v>
      </c>
      <c r="AU36" s="20">
        <f t="shared" si="1"/>
        <v>1.0000000000000004</v>
      </c>
    </row>
    <row r="42" spans="1:47" x14ac:dyDescent="0.3">
      <c r="C42">
        <v>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C43F-91D6-4CD4-8EBF-9501B0383BB3}">
  <dimension ref="A1:O22"/>
  <sheetViews>
    <sheetView workbookViewId="0"/>
  </sheetViews>
  <sheetFormatPr defaultRowHeight="14.4" x14ac:dyDescent="0.3"/>
  <cols>
    <col min="1" max="1" width="5.5546875" customWidth="1"/>
    <col min="2" max="2" width="29" customWidth="1"/>
    <col min="3" max="15" width="8.44140625" customWidth="1"/>
  </cols>
  <sheetData>
    <row r="1" spans="1:15" ht="18" x14ac:dyDescent="0.35">
      <c r="A1" s="5" t="s">
        <v>481</v>
      </c>
      <c r="C1">
        <v>3</v>
      </c>
      <c r="D1">
        <f>C1+1</f>
        <v>4</v>
      </c>
      <c r="E1">
        <f t="shared" ref="E1:O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row>
    <row r="2" spans="1:15" x14ac:dyDescent="0.3">
      <c r="A2" s="3" t="s">
        <v>149</v>
      </c>
      <c r="B2" s="1" t="s">
        <v>150</v>
      </c>
      <c r="C2" s="1">
        <v>2012</v>
      </c>
      <c r="D2" s="1">
        <v>2013</v>
      </c>
      <c r="E2" s="1">
        <v>2014</v>
      </c>
      <c r="F2" s="4">
        <v>2015</v>
      </c>
      <c r="G2" s="4">
        <v>2016</v>
      </c>
      <c r="H2" s="4">
        <v>2017</v>
      </c>
      <c r="I2" s="4">
        <v>2018</v>
      </c>
      <c r="J2" s="4">
        <v>2019</v>
      </c>
      <c r="K2" s="4">
        <v>2020</v>
      </c>
      <c r="L2" s="4">
        <v>2021</v>
      </c>
      <c r="M2" s="4">
        <v>2022</v>
      </c>
      <c r="N2" s="4">
        <v>2023</v>
      </c>
      <c r="O2" s="4">
        <v>2024</v>
      </c>
    </row>
    <row r="3" spans="1:15" x14ac:dyDescent="0.3">
      <c r="A3" s="2">
        <v>1</v>
      </c>
      <c r="B3" s="2" t="str">
        <f>WLs!C4</f>
        <v>Tochten ABC1</v>
      </c>
      <c r="C3" s="20"/>
      <c r="D3" s="20">
        <v>0.15099999999999997</v>
      </c>
      <c r="E3" s="20"/>
      <c r="F3" s="20"/>
      <c r="G3" s="20">
        <v>0.1452</v>
      </c>
      <c r="H3" s="20"/>
      <c r="I3" s="20"/>
      <c r="J3" s="20">
        <v>0.1668</v>
      </c>
      <c r="K3" s="20"/>
      <c r="L3" s="20"/>
      <c r="M3" s="20">
        <v>0.14420000000000002</v>
      </c>
      <c r="N3" s="20"/>
      <c r="O3" s="20"/>
    </row>
    <row r="4" spans="1:15" x14ac:dyDescent="0.3">
      <c r="A4" s="2">
        <v>2</v>
      </c>
      <c r="B4" s="2" t="str">
        <f>WLs!C5</f>
        <v>Tochten ABC2</v>
      </c>
      <c r="C4" s="20">
        <v>0.10685714285714286</v>
      </c>
      <c r="D4" s="20">
        <v>0.13781818181818184</v>
      </c>
      <c r="E4" s="20">
        <v>9.9499999999999991E-2</v>
      </c>
      <c r="F4" s="20">
        <v>7.5499999999999998E-2</v>
      </c>
      <c r="G4" s="20">
        <v>0.10081818181818183</v>
      </c>
      <c r="H4" s="20">
        <v>7.8833333333333325E-2</v>
      </c>
      <c r="I4" s="20">
        <v>9.5000000000000015E-2</v>
      </c>
      <c r="J4" s="20">
        <v>0.12754545454545452</v>
      </c>
      <c r="K4" s="20">
        <v>7.9000000000000001E-2</v>
      </c>
      <c r="L4" s="20">
        <v>6.7833333333333329E-2</v>
      </c>
      <c r="M4" s="20">
        <v>9.4818181818181829E-2</v>
      </c>
      <c r="N4" s="20">
        <v>8.1166666666666665E-2</v>
      </c>
      <c r="O4" s="20">
        <v>7.7833333333333338E-2</v>
      </c>
    </row>
    <row r="5" spans="1:15" x14ac:dyDescent="0.3">
      <c r="A5" s="2">
        <v>3</v>
      </c>
      <c r="B5" s="2" t="str">
        <f>WLs!C6</f>
        <v>Tochten DE Almere</v>
      </c>
      <c r="C5" s="20"/>
      <c r="D5" s="20"/>
      <c r="E5" s="20">
        <v>0.10400000000000001</v>
      </c>
      <c r="F5" s="20"/>
      <c r="G5" s="20"/>
      <c r="H5" s="20">
        <v>0.109</v>
      </c>
      <c r="I5" s="20"/>
      <c r="J5" s="20"/>
      <c r="K5" s="20">
        <v>8.4999999999999992E-2</v>
      </c>
      <c r="L5" s="20"/>
      <c r="M5" s="20"/>
      <c r="N5" s="20">
        <v>0.13400000000000001</v>
      </c>
      <c r="O5" s="20"/>
    </row>
    <row r="6" spans="1:15" x14ac:dyDescent="0.3">
      <c r="A6" s="2">
        <v>4</v>
      </c>
      <c r="B6" s="2" t="str">
        <f>WLs!C7</f>
        <v>Tochten DE Zuidlob</v>
      </c>
      <c r="C6" s="20"/>
      <c r="D6" s="20"/>
      <c r="E6" s="20">
        <v>0.36199999999999999</v>
      </c>
      <c r="F6" s="20">
        <v>0.25</v>
      </c>
      <c r="G6" s="20">
        <v>0.255</v>
      </c>
      <c r="H6" s="20">
        <v>0.49000000000000005</v>
      </c>
      <c r="I6" s="20">
        <v>0.255</v>
      </c>
      <c r="J6" s="20">
        <v>0.28500000000000003</v>
      </c>
      <c r="K6" s="20">
        <v>0.25999999999999995</v>
      </c>
      <c r="L6" s="20">
        <v>0.22</v>
      </c>
      <c r="M6" s="20">
        <v>0.26500000000000001</v>
      </c>
      <c r="N6" s="20">
        <v>0.496</v>
      </c>
      <c r="O6" s="20">
        <v>0.24000000000000002</v>
      </c>
    </row>
    <row r="7" spans="1:15" x14ac:dyDescent="0.3">
      <c r="A7" s="2">
        <v>5</v>
      </c>
      <c r="B7" s="2" t="str">
        <f>WLs!C8</f>
        <v>Tochten FGIK</v>
      </c>
      <c r="C7" s="20">
        <v>0.125</v>
      </c>
      <c r="D7" s="20">
        <v>0.16</v>
      </c>
      <c r="E7" s="20">
        <v>0.19923076923076921</v>
      </c>
      <c r="F7" s="20">
        <v>0.1658</v>
      </c>
      <c r="G7" s="20">
        <v>0.14099999999999999</v>
      </c>
      <c r="H7" s="20">
        <v>0.23492307692307696</v>
      </c>
      <c r="I7" s="20">
        <v>0.14133333333333334</v>
      </c>
      <c r="J7" s="20">
        <v>0.16540000000000002</v>
      </c>
      <c r="K7" s="20">
        <v>0.17299999999999996</v>
      </c>
      <c r="L7" s="20">
        <v>0.15083333333333335</v>
      </c>
      <c r="M7" s="20">
        <v>0.20739999999999997</v>
      </c>
      <c r="N7" s="20">
        <v>0.23761538461538462</v>
      </c>
      <c r="O7" s="20">
        <v>0.11899999999999999</v>
      </c>
    </row>
    <row r="8" spans="1:15" x14ac:dyDescent="0.3">
      <c r="A8" s="2">
        <v>6</v>
      </c>
      <c r="B8" s="2" t="str">
        <f>WLs!C9</f>
        <v>Tochten H</v>
      </c>
      <c r="C8" s="20">
        <v>4.8000000000000001E-2</v>
      </c>
      <c r="D8" s="20">
        <v>9.5000000000000001E-2</v>
      </c>
      <c r="E8" s="20">
        <v>0.06</v>
      </c>
      <c r="F8" s="20">
        <v>6.4000000000000001E-2</v>
      </c>
      <c r="G8" s="20">
        <v>8.5999999999999993E-2</v>
      </c>
      <c r="H8" s="20">
        <v>5.0999999999999997E-2</v>
      </c>
      <c r="I8" s="20">
        <v>5.2999999999999999E-2</v>
      </c>
      <c r="J8" s="20">
        <v>8.8999999999999996E-2</v>
      </c>
      <c r="K8" s="20">
        <v>0.05</v>
      </c>
      <c r="L8" s="20">
        <v>7.6999999999999999E-2</v>
      </c>
      <c r="M8" s="20">
        <v>7.1999999999999995E-2</v>
      </c>
      <c r="N8" s="20">
        <v>4.1000000000000002E-2</v>
      </c>
      <c r="O8" s="20">
        <v>6.3E-2</v>
      </c>
    </row>
    <row r="9" spans="1:15" x14ac:dyDescent="0.3">
      <c r="A9" s="2">
        <v>7</v>
      </c>
      <c r="B9" s="2" t="str">
        <f>WLs!C10</f>
        <v>Tochten J</v>
      </c>
      <c r="C9" s="20">
        <v>0.38</v>
      </c>
      <c r="D9" s="20">
        <v>0.3</v>
      </c>
      <c r="E9" s="20">
        <v>0.26</v>
      </c>
      <c r="F9" s="20">
        <v>0.34</v>
      </c>
      <c r="G9" s="20">
        <v>0.21</v>
      </c>
      <c r="H9" s="20">
        <v>0.3</v>
      </c>
      <c r="I9" s="20">
        <v>0.32</v>
      </c>
      <c r="J9" s="20">
        <v>0.32</v>
      </c>
      <c r="K9" s="20">
        <v>0.18</v>
      </c>
      <c r="L9" s="20">
        <v>0.28999999999999998</v>
      </c>
      <c r="M9" s="20">
        <v>0.2</v>
      </c>
      <c r="N9" s="20">
        <v>0.18</v>
      </c>
      <c r="O9" s="20">
        <v>0.26</v>
      </c>
    </row>
    <row r="10" spans="1:15" x14ac:dyDescent="0.3">
      <c r="A10" s="2">
        <v>8</v>
      </c>
      <c r="B10" s="2" t="str">
        <f>WLs!C11</f>
        <v>Tochten lage afdeling NOP</v>
      </c>
      <c r="C10" s="20">
        <v>0.12258333333333331</v>
      </c>
      <c r="D10" s="20">
        <v>0.14200000000000002</v>
      </c>
      <c r="E10" s="20">
        <v>0.1758888888888889</v>
      </c>
      <c r="F10" s="20">
        <v>0.14549999999999999</v>
      </c>
      <c r="G10" s="20">
        <v>0.11209090909090907</v>
      </c>
      <c r="H10" s="20">
        <v>0.10190909090909094</v>
      </c>
      <c r="I10" s="20">
        <v>0.13241666666666663</v>
      </c>
      <c r="J10" s="20">
        <v>0.11818181818181821</v>
      </c>
      <c r="K10" s="20">
        <v>9.7727272727272718E-2</v>
      </c>
      <c r="L10" s="20">
        <v>0.11620833333333336</v>
      </c>
      <c r="M10" s="20">
        <v>8.1888888888888886E-2</v>
      </c>
      <c r="N10" s="20">
        <v>7.9666666666666663E-2</v>
      </c>
      <c r="O10" s="20">
        <v>0.10345833333333333</v>
      </c>
    </row>
    <row r="11" spans="1:15" x14ac:dyDescent="0.3">
      <c r="A11" s="2">
        <v>9</v>
      </c>
      <c r="B11" s="2" t="str">
        <f>WLs!C12</f>
        <v>Tochten hoge afdeling NOP</v>
      </c>
      <c r="C11" s="20">
        <v>0.17250000000000001</v>
      </c>
      <c r="D11" s="20">
        <v>0.13219999999999998</v>
      </c>
      <c r="E11" s="20">
        <v>0.124</v>
      </c>
      <c r="F11" s="20">
        <v>0.154</v>
      </c>
      <c r="G11" s="20">
        <v>9.6000000000000002E-2</v>
      </c>
      <c r="H11" s="20">
        <v>0.13350000000000001</v>
      </c>
      <c r="I11" s="20">
        <v>9.2499999999999999E-2</v>
      </c>
      <c r="J11" s="20">
        <v>9.2333333333333337E-2</v>
      </c>
      <c r="K11" s="20">
        <v>9.35E-2</v>
      </c>
      <c r="L11" s="20">
        <v>0.10400000000000001</v>
      </c>
      <c r="M11" s="20">
        <v>8.216666666666668E-2</v>
      </c>
      <c r="N11" s="20">
        <v>6.5000000000000002E-2</v>
      </c>
      <c r="O11" s="20">
        <v>8.8500000000000009E-2</v>
      </c>
    </row>
    <row r="12" spans="1:15" x14ac:dyDescent="0.3">
      <c r="A12" s="2">
        <v>10</v>
      </c>
      <c r="B12" s="2" t="str">
        <f>WLs!C13</f>
        <v>Vaarten NOP</v>
      </c>
      <c r="C12" s="20">
        <v>0.10920000000000001</v>
      </c>
      <c r="D12" s="20">
        <v>0.10875000000000001</v>
      </c>
      <c r="E12" s="20">
        <v>0.1225</v>
      </c>
      <c r="F12" s="20">
        <v>0.12959999999999999</v>
      </c>
      <c r="G12" s="20">
        <v>0.10050000000000001</v>
      </c>
      <c r="H12" s="20">
        <v>7.4249999999999997E-2</v>
      </c>
      <c r="I12" s="20">
        <v>9.3199999999999991E-2</v>
      </c>
      <c r="J12" s="20">
        <v>7.5499999999999998E-2</v>
      </c>
      <c r="K12" s="20">
        <v>8.4749999999999992E-2</v>
      </c>
      <c r="L12" s="20">
        <v>7.46E-2</v>
      </c>
      <c r="M12" s="20">
        <v>7.4499999999999997E-2</v>
      </c>
      <c r="N12" s="20">
        <v>7.6749999999999999E-2</v>
      </c>
      <c r="O12" s="20">
        <v>8.1800000000000012E-2</v>
      </c>
    </row>
    <row r="13" spans="1:15" x14ac:dyDescent="0.3">
      <c r="A13" s="2">
        <v>11</v>
      </c>
      <c r="B13" s="2" t="str">
        <f>WLs!C14</f>
        <v>Vaarten hoge afdeling ZOF</v>
      </c>
      <c r="C13" s="20">
        <v>0.09</v>
      </c>
      <c r="D13" s="20">
        <v>0.13874999999999998</v>
      </c>
      <c r="E13" s="20">
        <v>9.6599999999999991E-2</v>
      </c>
      <c r="F13" s="20">
        <v>9.7428571428571434E-2</v>
      </c>
      <c r="G13" s="20">
        <v>9.2374999999999999E-2</v>
      </c>
      <c r="H13" s="20">
        <v>0.10242857142857142</v>
      </c>
      <c r="I13" s="20">
        <v>0.10157142857142855</v>
      </c>
      <c r="J13" s="20">
        <v>7.7499999999999986E-2</v>
      </c>
      <c r="K13" s="20">
        <v>7.7600000000000002E-2</v>
      </c>
      <c r="L13" s="20">
        <v>9.1200000000000003E-2</v>
      </c>
      <c r="M13" s="20">
        <v>8.9874999999999997E-2</v>
      </c>
      <c r="N13" s="20">
        <v>9.64E-2</v>
      </c>
      <c r="O13" s="20">
        <v>0.11080000000000001</v>
      </c>
    </row>
    <row r="14" spans="1:15" x14ac:dyDescent="0.3">
      <c r="A14" s="2">
        <v>12</v>
      </c>
      <c r="B14" s="2" t="str">
        <f>WLs!C15</f>
        <v>Vaarten lage afdeling ZOF</v>
      </c>
      <c r="C14" s="20">
        <v>0.18571428571428569</v>
      </c>
      <c r="D14" s="20">
        <v>0.17971428571428569</v>
      </c>
      <c r="E14" s="20">
        <v>0.1537</v>
      </c>
      <c r="F14" s="20">
        <v>0.15900000000000003</v>
      </c>
      <c r="G14" s="20">
        <v>0.13957142857142857</v>
      </c>
      <c r="H14" s="20">
        <v>0.12239999999999999</v>
      </c>
      <c r="I14" s="20">
        <v>0.17685714285714285</v>
      </c>
      <c r="J14" s="20">
        <v>0.16342857142857145</v>
      </c>
      <c r="K14" s="20">
        <v>0.1358</v>
      </c>
      <c r="L14" s="20">
        <v>0.12200000000000001</v>
      </c>
      <c r="M14" s="20">
        <v>0.17157142857142857</v>
      </c>
      <c r="N14" s="20">
        <v>0.1197</v>
      </c>
      <c r="O14" s="20">
        <v>0.14742857142857144</v>
      </c>
    </row>
    <row r="15" spans="1:15" x14ac:dyDescent="0.3">
      <c r="A15" s="2">
        <v>13</v>
      </c>
      <c r="B15" s="2" t="str">
        <f>WLs!C16</f>
        <v>Bovenwater</v>
      </c>
      <c r="C15" s="20">
        <v>0.16</v>
      </c>
      <c r="D15" s="20">
        <v>0.12</v>
      </c>
      <c r="E15" s="20">
        <v>0.17</v>
      </c>
      <c r="F15" s="20">
        <v>0.21</v>
      </c>
      <c r="G15" s="20">
        <v>0.23</v>
      </c>
      <c r="H15" s="20">
        <v>0.2</v>
      </c>
      <c r="I15" s="20">
        <v>0.11</v>
      </c>
      <c r="J15" s="20">
        <v>0.23</v>
      </c>
      <c r="K15" s="20">
        <v>0.11</v>
      </c>
      <c r="L15" s="20">
        <v>0.14000000000000001</v>
      </c>
      <c r="M15" s="20">
        <v>6.8000000000000005E-2</v>
      </c>
      <c r="N15" s="20">
        <v>8.7999999999999995E-2</v>
      </c>
      <c r="O15" s="20">
        <v>0.09</v>
      </c>
    </row>
    <row r="16" spans="1:15" x14ac:dyDescent="0.3">
      <c r="A16" s="2">
        <v>14</v>
      </c>
      <c r="B16" s="2" t="str">
        <f>WLs!C17</f>
        <v>Harderbroek (oude deel)</v>
      </c>
      <c r="C16" s="20">
        <v>0.44</v>
      </c>
      <c r="D16" s="20">
        <v>0.46</v>
      </c>
      <c r="E16" s="20">
        <v>0.35</v>
      </c>
      <c r="F16" s="20">
        <v>0.46</v>
      </c>
      <c r="G16" s="20">
        <v>0.59</v>
      </c>
      <c r="H16" s="20">
        <v>0.53</v>
      </c>
      <c r="I16" s="20">
        <v>0.81</v>
      </c>
      <c r="J16" s="20">
        <v>0.55000000000000004</v>
      </c>
      <c r="K16" s="20">
        <v>0.4</v>
      </c>
      <c r="L16" s="20">
        <v>0.46</v>
      </c>
      <c r="M16" s="20">
        <v>0.89</v>
      </c>
      <c r="N16" s="20">
        <v>14</v>
      </c>
      <c r="O16" s="20"/>
    </row>
    <row r="17" spans="1:15" x14ac:dyDescent="0.3">
      <c r="A17" s="2">
        <v>15</v>
      </c>
      <c r="B17" s="2" t="str">
        <f>WLs!C18</f>
        <v>Harderbroek Roerdomp</v>
      </c>
      <c r="C17" s="20">
        <v>0.25</v>
      </c>
      <c r="D17" s="20"/>
      <c r="E17" s="20"/>
      <c r="F17" s="20">
        <v>0.28999999999999998</v>
      </c>
      <c r="G17" s="20"/>
      <c r="H17" s="20"/>
      <c r="I17" s="20">
        <v>1.2</v>
      </c>
      <c r="J17" s="20"/>
      <c r="K17" s="20">
        <v>0.63</v>
      </c>
      <c r="L17" s="20">
        <v>1.3</v>
      </c>
      <c r="M17" s="20">
        <v>0.83</v>
      </c>
      <c r="N17" s="20">
        <v>1.6</v>
      </c>
      <c r="O17" s="20">
        <v>2</v>
      </c>
    </row>
    <row r="18" spans="1:15" x14ac:dyDescent="0.3">
      <c r="A18" s="2">
        <v>16</v>
      </c>
      <c r="B18" s="2" t="str">
        <f>WLs!C19</f>
        <v>Lepelaarplassen</v>
      </c>
      <c r="C18" s="20"/>
      <c r="D18" s="20"/>
      <c r="E18" s="20">
        <v>0.76</v>
      </c>
      <c r="F18" s="20"/>
      <c r="G18" s="20"/>
      <c r="H18" s="20">
        <v>0.5</v>
      </c>
      <c r="I18" s="20"/>
      <c r="J18" s="20">
        <v>0.57999999999999996</v>
      </c>
      <c r="K18" s="20">
        <v>0.56999999999999995</v>
      </c>
      <c r="L18" s="20">
        <v>0.56999999999999995</v>
      </c>
      <c r="M18" s="20">
        <v>0.55000000000000004</v>
      </c>
      <c r="N18" s="20">
        <v>0.95000000000000007</v>
      </c>
      <c r="O18" s="20">
        <v>0.49</v>
      </c>
    </row>
    <row r="19" spans="1:15" x14ac:dyDescent="0.3">
      <c r="A19" s="2">
        <v>17</v>
      </c>
      <c r="B19" s="2" t="str">
        <f>WLs!C20</f>
        <v>Noorderplassen</v>
      </c>
      <c r="C19" s="20">
        <v>6.8000000000000005E-2</v>
      </c>
      <c r="D19" s="20">
        <v>4.7E-2</v>
      </c>
      <c r="E19" s="20">
        <v>4.8000000000000001E-2</v>
      </c>
      <c r="F19" s="20">
        <v>5.8000000000000003E-2</v>
      </c>
      <c r="G19" s="20">
        <v>4.9000000000000002E-2</v>
      </c>
      <c r="H19" s="20">
        <v>6.8000000000000005E-2</v>
      </c>
      <c r="I19" s="20">
        <v>6.9000000000000006E-2</v>
      </c>
      <c r="J19" s="20">
        <v>2.9000000000000001E-2</v>
      </c>
      <c r="K19" s="20">
        <v>3.6999999999999998E-2</v>
      </c>
      <c r="L19" s="20">
        <v>3.5000000000000003E-2</v>
      </c>
      <c r="M19" s="20">
        <v>4.7E-2</v>
      </c>
      <c r="N19" s="20">
        <v>0.04</v>
      </c>
      <c r="O19" s="20">
        <v>3.6999999999999998E-2</v>
      </c>
    </row>
    <row r="20" spans="1:15" x14ac:dyDescent="0.3">
      <c r="A20" s="2">
        <v>18</v>
      </c>
      <c r="B20" s="2" t="str">
        <f>WLs!C21</f>
        <v>Oostvaardersplassen</v>
      </c>
      <c r="C20" s="20">
        <v>0.43499999999999994</v>
      </c>
      <c r="D20" s="20">
        <v>1.4</v>
      </c>
      <c r="E20" s="20">
        <v>0.89</v>
      </c>
      <c r="F20" s="20">
        <v>0.91999999999999993</v>
      </c>
      <c r="G20" s="20">
        <v>0.95</v>
      </c>
      <c r="H20" s="20">
        <v>1.4</v>
      </c>
      <c r="I20" s="20">
        <v>0.97499999999999998</v>
      </c>
      <c r="J20" s="20">
        <v>1.5</v>
      </c>
      <c r="K20" s="20">
        <v>0.38</v>
      </c>
      <c r="L20" s="20">
        <v>0.51</v>
      </c>
      <c r="M20" s="20">
        <v>1.1000000000000001</v>
      </c>
      <c r="N20" s="20">
        <v>4.3</v>
      </c>
      <c r="O20" s="20">
        <v>0.60499999999999998</v>
      </c>
    </row>
    <row r="21" spans="1:15" x14ac:dyDescent="0.3">
      <c r="A21" s="2">
        <v>19</v>
      </c>
      <c r="B21" s="2" t="str">
        <f>WLs!C22</f>
        <v>Vollenhover- en Kadoelermeer</v>
      </c>
      <c r="C21" s="20">
        <v>6.9000000000000006E-2</v>
      </c>
      <c r="D21" s="20">
        <v>5.7500000000000002E-2</v>
      </c>
      <c r="E21" s="20">
        <v>8.4000000000000005E-2</v>
      </c>
      <c r="F21" s="20">
        <v>6.5500000000000003E-2</v>
      </c>
      <c r="G21" s="20">
        <v>4.2499999999999996E-2</v>
      </c>
      <c r="H21" s="20">
        <v>3.3000000000000002E-2</v>
      </c>
      <c r="I21" s="20">
        <v>5.1500000000000004E-2</v>
      </c>
      <c r="J21" s="20">
        <v>3.9E-2</v>
      </c>
      <c r="K21" s="20">
        <v>4.7E-2</v>
      </c>
      <c r="L21" s="20">
        <v>5.2999999999999999E-2</v>
      </c>
      <c r="M21" s="20">
        <v>3.95E-2</v>
      </c>
      <c r="N21" s="20">
        <v>6.4000000000000001E-2</v>
      </c>
      <c r="O21" s="20">
        <v>8.5000000000000006E-2</v>
      </c>
    </row>
    <row r="22" spans="1:15" x14ac:dyDescent="0.3">
      <c r="A22" s="2">
        <v>20</v>
      </c>
      <c r="B22" s="2" t="str">
        <f>WLs!C23</f>
        <v>Weerwater</v>
      </c>
      <c r="C22" s="20">
        <v>6.2E-2</v>
      </c>
      <c r="D22" s="20">
        <v>7.6999999999999999E-2</v>
      </c>
      <c r="E22" s="20">
        <v>0.06</v>
      </c>
      <c r="F22" s="20">
        <v>8.2000000000000003E-2</v>
      </c>
      <c r="G22" s="20">
        <v>6.5000000000000002E-2</v>
      </c>
      <c r="H22" s="20">
        <v>7.3999999999999996E-2</v>
      </c>
      <c r="I22" s="20">
        <v>6.4000000000000001E-2</v>
      </c>
      <c r="J22" s="20">
        <v>6.4000000000000001E-2</v>
      </c>
      <c r="K22" s="20">
        <v>6.3E-2</v>
      </c>
      <c r="L22" s="20">
        <v>6.5000000000000002E-2</v>
      </c>
      <c r="M22" s="20">
        <v>0.04</v>
      </c>
      <c r="N22" s="20">
        <v>4.2000000000000003E-2</v>
      </c>
      <c r="O22" s="20">
        <v>4.4999999999999998E-2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D9AA-BBCD-4528-A5C9-F16E88FA39C9}">
  <dimension ref="A1:O22"/>
  <sheetViews>
    <sheetView workbookViewId="0"/>
  </sheetViews>
  <sheetFormatPr defaultRowHeight="14.4" x14ac:dyDescent="0.3"/>
  <cols>
    <col min="1" max="1" width="5.5546875" customWidth="1"/>
    <col min="2" max="2" width="29" customWidth="1"/>
    <col min="3" max="15" width="8.44140625" customWidth="1"/>
  </cols>
  <sheetData>
    <row r="1" spans="1:15" ht="18" x14ac:dyDescent="0.35">
      <c r="A1" s="5" t="s">
        <v>482</v>
      </c>
      <c r="C1">
        <v>3</v>
      </c>
      <c r="D1">
        <f>C1+1</f>
        <v>4</v>
      </c>
      <c r="E1">
        <f t="shared" ref="E1:O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row>
    <row r="2" spans="1:15" x14ac:dyDescent="0.3">
      <c r="A2" s="3" t="s">
        <v>149</v>
      </c>
      <c r="B2" s="1" t="s">
        <v>150</v>
      </c>
      <c r="C2" s="1">
        <v>2012</v>
      </c>
      <c r="D2" s="1">
        <v>2013</v>
      </c>
      <c r="E2" s="1">
        <v>2014</v>
      </c>
      <c r="F2" s="4">
        <v>2015</v>
      </c>
      <c r="G2" s="4">
        <v>2016</v>
      </c>
      <c r="H2" s="4">
        <v>2017</v>
      </c>
      <c r="I2" s="4">
        <v>2018</v>
      </c>
      <c r="J2" s="4">
        <v>2019</v>
      </c>
      <c r="K2" s="4">
        <v>2020</v>
      </c>
      <c r="L2" s="4">
        <v>2021</v>
      </c>
      <c r="M2" s="4">
        <v>2022</v>
      </c>
      <c r="N2" s="4">
        <v>2023</v>
      </c>
      <c r="O2" s="4">
        <v>2024</v>
      </c>
    </row>
    <row r="3" spans="1:15" x14ac:dyDescent="0.3">
      <c r="A3" s="2">
        <v>1</v>
      </c>
      <c r="B3" s="2" t="str">
        <f>WLs!C4</f>
        <v>Tochten ABC1</v>
      </c>
      <c r="C3" s="20"/>
      <c r="D3" s="20">
        <v>0.81799999999999995</v>
      </c>
      <c r="E3" s="20"/>
      <c r="F3" s="20"/>
      <c r="G3" s="20">
        <v>0.95240000000000014</v>
      </c>
      <c r="H3" s="20"/>
      <c r="I3" s="20"/>
      <c r="J3" s="20">
        <v>1.018</v>
      </c>
      <c r="K3" s="20"/>
      <c r="L3" s="20"/>
      <c r="M3" s="20">
        <v>0.98400000000000021</v>
      </c>
      <c r="N3" s="20"/>
      <c r="O3" s="20"/>
    </row>
    <row r="4" spans="1:15" x14ac:dyDescent="0.3">
      <c r="A4" s="2">
        <v>2</v>
      </c>
      <c r="B4" s="2" t="str">
        <f>WLs!C5</f>
        <v>Tochten ABC2</v>
      </c>
      <c r="C4" s="20">
        <v>2.3685714285714283</v>
      </c>
      <c r="D4" s="20">
        <v>1.8427272727272728</v>
      </c>
      <c r="E4" s="20">
        <v>2.4716666666666667</v>
      </c>
      <c r="F4" s="20">
        <v>2.5233333333333334</v>
      </c>
      <c r="G4" s="20">
        <v>1.8663636363636362</v>
      </c>
      <c r="H4" s="20">
        <v>2.7833333333333332</v>
      </c>
      <c r="I4" s="20">
        <v>2.2011666666666669</v>
      </c>
      <c r="J4" s="20">
        <v>2.0027272727272729</v>
      </c>
      <c r="K4" s="20">
        <v>2.335</v>
      </c>
      <c r="L4" s="20">
        <v>2.63</v>
      </c>
      <c r="M4" s="20">
        <v>1.8154545454545457</v>
      </c>
      <c r="N4" s="20">
        <v>3.1516666666666668</v>
      </c>
      <c r="O4" s="20">
        <v>2.4883333333333333</v>
      </c>
    </row>
    <row r="5" spans="1:15" x14ac:dyDescent="0.3">
      <c r="A5" s="2">
        <v>3</v>
      </c>
      <c r="B5" s="2" t="str">
        <f>WLs!C6</f>
        <v>Tochten DE Almere</v>
      </c>
      <c r="C5" s="2"/>
      <c r="D5" s="2"/>
      <c r="E5" s="20">
        <v>1.3</v>
      </c>
      <c r="F5" s="20"/>
      <c r="G5" s="20"/>
      <c r="H5" s="20">
        <v>1.2999999999999998</v>
      </c>
      <c r="I5" s="20"/>
      <c r="J5" s="20"/>
      <c r="K5" s="20">
        <v>1.05</v>
      </c>
      <c r="L5" s="20"/>
      <c r="M5" s="20"/>
      <c r="N5" s="20">
        <v>1.4</v>
      </c>
      <c r="O5" s="20"/>
    </row>
    <row r="6" spans="1:15" x14ac:dyDescent="0.3">
      <c r="A6" s="2">
        <v>4</v>
      </c>
      <c r="B6" s="2" t="str">
        <f>WLs!C7</f>
        <v>Tochten DE Zuidlob</v>
      </c>
      <c r="C6" s="2"/>
      <c r="D6" s="2"/>
      <c r="E6" s="20">
        <v>5.62</v>
      </c>
      <c r="F6" s="20">
        <v>6.1</v>
      </c>
      <c r="G6" s="20">
        <v>5.9</v>
      </c>
      <c r="H6" s="20">
        <v>4.4399999999999995</v>
      </c>
      <c r="I6" s="20">
        <v>4.3499999999999996</v>
      </c>
      <c r="J6" s="20">
        <v>3.8499999999999996</v>
      </c>
      <c r="K6" s="20">
        <v>3.0200000000000005</v>
      </c>
      <c r="L6" s="20">
        <v>6.45</v>
      </c>
      <c r="M6" s="20">
        <v>4.25</v>
      </c>
      <c r="N6" s="20">
        <v>4.0999999999999996</v>
      </c>
      <c r="O6" s="20">
        <v>6.15</v>
      </c>
    </row>
    <row r="7" spans="1:15" x14ac:dyDescent="0.3">
      <c r="A7" s="2">
        <v>5</v>
      </c>
      <c r="B7" s="2" t="str">
        <f>WLs!C8</f>
        <v>Tochten FGIK</v>
      </c>
      <c r="C7" s="20">
        <v>2.3666666666666667</v>
      </c>
      <c r="D7" s="20">
        <v>2.0666666666666669</v>
      </c>
      <c r="E7" s="20">
        <v>2.8692307692307697</v>
      </c>
      <c r="F7" s="20">
        <v>3.8</v>
      </c>
      <c r="G7" s="20">
        <v>3.3000000000000003</v>
      </c>
      <c r="H7" s="20">
        <v>3.0461538461538464</v>
      </c>
      <c r="I7" s="20">
        <v>3.2833333333333332</v>
      </c>
      <c r="J7" s="20">
        <v>2.54</v>
      </c>
      <c r="K7" s="20">
        <v>2.4166666666666665</v>
      </c>
      <c r="L7" s="20">
        <v>3.3000000000000003</v>
      </c>
      <c r="M7" s="20">
        <v>3.3600000000000003</v>
      </c>
      <c r="N7" s="20">
        <v>2.9846153846153851</v>
      </c>
      <c r="O7" s="20">
        <v>3.6400000000000006</v>
      </c>
    </row>
    <row r="8" spans="1:15" x14ac:dyDescent="0.3">
      <c r="A8" s="2">
        <v>6</v>
      </c>
      <c r="B8" s="2" t="str">
        <f>WLs!C9</f>
        <v>Tochten H</v>
      </c>
      <c r="C8" s="20">
        <v>1.8</v>
      </c>
      <c r="D8" s="20">
        <v>1.3</v>
      </c>
      <c r="E8" s="20">
        <v>2</v>
      </c>
      <c r="F8" s="20">
        <v>2.4</v>
      </c>
      <c r="G8" s="20">
        <v>1.9</v>
      </c>
      <c r="H8" s="20">
        <v>2.1</v>
      </c>
      <c r="I8" s="20">
        <v>1.7</v>
      </c>
      <c r="J8" s="20">
        <v>1.4</v>
      </c>
      <c r="K8" s="20">
        <v>1.8</v>
      </c>
      <c r="L8" s="20">
        <v>2</v>
      </c>
      <c r="M8" s="20">
        <v>1.6</v>
      </c>
      <c r="N8" s="20">
        <v>2.2999999999999998</v>
      </c>
      <c r="O8" s="20">
        <v>2.1</v>
      </c>
    </row>
    <row r="9" spans="1:15" x14ac:dyDescent="0.3">
      <c r="A9" s="2">
        <v>7</v>
      </c>
      <c r="B9" s="2" t="str">
        <f>WLs!C10</f>
        <v>Tochten J</v>
      </c>
      <c r="C9" s="20">
        <v>6.2</v>
      </c>
      <c r="D9" s="20">
        <v>6.2</v>
      </c>
      <c r="E9" s="20">
        <v>7.2</v>
      </c>
      <c r="F9" s="20">
        <v>6.4</v>
      </c>
      <c r="G9" s="20">
        <v>6.6</v>
      </c>
      <c r="H9" s="20">
        <v>7.4</v>
      </c>
      <c r="I9" s="20">
        <v>5.7</v>
      </c>
      <c r="J9" s="20">
        <v>9.3000000000000007</v>
      </c>
      <c r="K9" s="20">
        <v>6.4</v>
      </c>
      <c r="L9" s="20">
        <v>7.2</v>
      </c>
      <c r="M9" s="20">
        <v>7.2</v>
      </c>
      <c r="N9" s="20">
        <v>7.5</v>
      </c>
      <c r="O9" s="20">
        <v>7.1</v>
      </c>
    </row>
    <row r="10" spans="1:15" x14ac:dyDescent="0.3">
      <c r="A10" s="2">
        <v>8</v>
      </c>
      <c r="B10" s="2" t="str">
        <f>WLs!C11</f>
        <v>Tochten lage afdeling NOP</v>
      </c>
      <c r="C10" s="20">
        <v>4.0458333333333334</v>
      </c>
      <c r="D10" s="20">
        <v>3.8555555555555561</v>
      </c>
      <c r="E10" s="20">
        <v>4.333333333333333</v>
      </c>
      <c r="F10" s="20">
        <v>4.4458333333333337</v>
      </c>
      <c r="G10" s="20">
        <v>4.1818181818181825</v>
      </c>
      <c r="H10" s="20">
        <v>4.5090909090909088</v>
      </c>
      <c r="I10" s="20">
        <v>3.2375000000000003</v>
      </c>
      <c r="J10" s="20">
        <v>3.0727272727272723</v>
      </c>
      <c r="K10" s="20">
        <v>2.9727272727272731</v>
      </c>
      <c r="L10" s="20">
        <v>4.2333333333333325</v>
      </c>
      <c r="M10" s="20">
        <v>3.822222222222222</v>
      </c>
      <c r="N10" s="20">
        <v>4.2555555555555564</v>
      </c>
      <c r="O10" s="20">
        <v>3.5458333333333338</v>
      </c>
    </row>
    <row r="11" spans="1:15" x14ac:dyDescent="0.3">
      <c r="A11" s="2">
        <v>9</v>
      </c>
      <c r="B11" s="2" t="str">
        <f>WLs!C12</f>
        <v>Tochten hoge afdeling NOP</v>
      </c>
      <c r="C11" s="20">
        <v>2.9000000000000004</v>
      </c>
      <c r="D11" s="20">
        <v>2.86</v>
      </c>
      <c r="E11" s="20">
        <v>3.35</v>
      </c>
      <c r="F11" s="20">
        <v>3.0999999999999996</v>
      </c>
      <c r="G11" s="20">
        <v>3.5</v>
      </c>
      <c r="H11" s="20">
        <v>3.25</v>
      </c>
      <c r="I11" s="20">
        <v>3</v>
      </c>
      <c r="J11" s="20">
        <v>1.8333333333333333</v>
      </c>
      <c r="K11" s="20">
        <v>1.75</v>
      </c>
      <c r="L11" s="20">
        <v>2.6</v>
      </c>
      <c r="M11" s="20">
        <v>3.0333333333333337</v>
      </c>
      <c r="N11" s="20">
        <v>3.25</v>
      </c>
      <c r="O11" s="20">
        <v>2.5499999999999998</v>
      </c>
    </row>
    <row r="12" spans="1:15" x14ac:dyDescent="0.3">
      <c r="A12" s="2">
        <v>10</v>
      </c>
      <c r="B12" s="2" t="str">
        <f>WLs!C13</f>
        <v>Vaarten NOP</v>
      </c>
      <c r="C12" s="20">
        <v>3.34</v>
      </c>
      <c r="D12" s="20">
        <v>2.7</v>
      </c>
      <c r="E12" s="20">
        <v>3.6</v>
      </c>
      <c r="F12" s="20">
        <v>3.84</v>
      </c>
      <c r="G12" s="20">
        <v>3.1500000000000004</v>
      </c>
      <c r="H12" s="20">
        <v>3.0250000000000004</v>
      </c>
      <c r="I12" s="20">
        <v>2.2600000000000002</v>
      </c>
      <c r="J12" s="20">
        <v>2.3499999999999996</v>
      </c>
      <c r="K12" s="20">
        <v>2.4750000000000001</v>
      </c>
      <c r="L12" s="20">
        <v>2.9800000000000004</v>
      </c>
      <c r="M12" s="20">
        <v>2.4500000000000002</v>
      </c>
      <c r="N12" s="20">
        <v>2.9750000000000001</v>
      </c>
      <c r="O12" s="20">
        <v>3.04</v>
      </c>
    </row>
    <row r="13" spans="1:15" x14ac:dyDescent="0.3">
      <c r="A13" s="2">
        <v>11</v>
      </c>
      <c r="B13" s="2" t="str">
        <f>WLs!C14</f>
        <v>Vaarten hoge afdeling ZOF</v>
      </c>
      <c r="C13" s="20">
        <v>2.0200000000000005</v>
      </c>
      <c r="D13" s="20">
        <v>1.9375</v>
      </c>
      <c r="E13" s="20">
        <v>2.06</v>
      </c>
      <c r="F13" s="20">
        <v>2.3000000000000003</v>
      </c>
      <c r="G13" s="20">
        <v>2.0375000000000001</v>
      </c>
      <c r="H13" s="20">
        <v>1.8000000000000003</v>
      </c>
      <c r="I13" s="20">
        <v>2.0285714285714285</v>
      </c>
      <c r="J13" s="20">
        <v>2.1124999999999998</v>
      </c>
      <c r="K13" s="20">
        <v>1.9</v>
      </c>
      <c r="L13" s="20">
        <v>2.1799999999999997</v>
      </c>
      <c r="M13" s="20">
        <v>1.9249999999999998</v>
      </c>
      <c r="N13" s="20">
        <v>2.72</v>
      </c>
      <c r="O13" s="20">
        <v>2.56</v>
      </c>
    </row>
    <row r="14" spans="1:15" x14ac:dyDescent="0.3">
      <c r="A14" s="2">
        <v>12</v>
      </c>
      <c r="B14" s="2" t="str">
        <f>WLs!C15</f>
        <v>Vaarten lage afdeling ZOF</v>
      </c>
      <c r="C14" s="20">
        <v>2.7571428571428571</v>
      </c>
      <c r="D14" s="20">
        <v>2.9571428571428569</v>
      </c>
      <c r="E14" s="20">
        <v>2.7199999999999998</v>
      </c>
      <c r="F14" s="20">
        <v>3.4428571428571426</v>
      </c>
      <c r="G14" s="20">
        <v>3.0428571428571431</v>
      </c>
      <c r="H14" s="20">
        <v>3.02</v>
      </c>
      <c r="I14" s="20">
        <v>3.5714285714285716</v>
      </c>
      <c r="J14" s="20">
        <v>3.4142857142857141</v>
      </c>
      <c r="K14" s="20">
        <v>3.15</v>
      </c>
      <c r="L14" s="20">
        <v>3.8999999999999995</v>
      </c>
      <c r="M14" s="20">
        <v>3.7714285714285714</v>
      </c>
      <c r="N14" s="20">
        <v>3.22</v>
      </c>
      <c r="O14" s="20">
        <v>3.6714285714285717</v>
      </c>
    </row>
    <row r="15" spans="1:15" x14ac:dyDescent="0.3">
      <c r="A15" s="2">
        <v>13</v>
      </c>
      <c r="B15" s="2" t="str">
        <f>WLs!C16</f>
        <v>Bovenwater</v>
      </c>
      <c r="C15" s="20">
        <v>2.1</v>
      </c>
      <c r="D15" s="20">
        <v>1.8</v>
      </c>
      <c r="E15" s="20">
        <v>2.6</v>
      </c>
      <c r="F15" s="20">
        <v>2.7</v>
      </c>
      <c r="G15" s="20">
        <v>3</v>
      </c>
      <c r="H15" s="20">
        <v>2.1</v>
      </c>
      <c r="I15" s="20">
        <v>1.7</v>
      </c>
      <c r="J15" s="20">
        <v>2.8</v>
      </c>
      <c r="K15" s="20">
        <v>1.9</v>
      </c>
      <c r="L15" s="20">
        <v>2.4</v>
      </c>
      <c r="M15" s="20">
        <v>1.9</v>
      </c>
      <c r="N15" s="20">
        <v>1.9</v>
      </c>
      <c r="O15" s="20">
        <v>2</v>
      </c>
    </row>
    <row r="16" spans="1:15" x14ac:dyDescent="0.3">
      <c r="A16" s="2">
        <v>14</v>
      </c>
      <c r="B16" s="2" t="str">
        <f>WLs!C17</f>
        <v>Harderbroek (oude deel)</v>
      </c>
      <c r="C16" s="20">
        <v>3.5</v>
      </c>
      <c r="D16" s="20">
        <v>3.1</v>
      </c>
      <c r="E16" s="20">
        <v>3</v>
      </c>
      <c r="F16" s="20">
        <v>3.2</v>
      </c>
      <c r="G16" s="20">
        <v>4.0999999999999996</v>
      </c>
      <c r="H16" s="20">
        <v>4</v>
      </c>
      <c r="I16" s="20">
        <v>5.2</v>
      </c>
      <c r="J16" s="20">
        <v>3.7</v>
      </c>
      <c r="K16" s="20">
        <v>3.3</v>
      </c>
      <c r="L16" s="20">
        <v>3.8</v>
      </c>
      <c r="M16" s="20">
        <v>5.4</v>
      </c>
      <c r="N16" s="20">
        <v>55</v>
      </c>
      <c r="O16" s="20"/>
    </row>
    <row r="17" spans="1:15" x14ac:dyDescent="0.3">
      <c r="A17" s="2">
        <v>15</v>
      </c>
      <c r="B17" s="2" t="str">
        <f>WLs!C18</f>
        <v>Harderbroek Roerdomp</v>
      </c>
      <c r="C17" s="20">
        <v>2.6</v>
      </c>
      <c r="D17" s="20"/>
      <c r="E17" s="20"/>
      <c r="F17" s="20">
        <v>3.1</v>
      </c>
      <c r="G17" s="20"/>
      <c r="H17" s="20"/>
      <c r="I17" s="20">
        <v>9.6</v>
      </c>
      <c r="J17" s="20"/>
      <c r="K17" s="20">
        <v>4</v>
      </c>
      <c r="L17" s="20">
        <v>8</v>
      </c>
      <c r="M17" s="20">
        <v>6</v>
      </c>
      <c r="N17" s="20">
        <v>12</v>
      </c>
      <c r="O17" s="20">
        <v>14</v>
      </c>
    </row>
    <row r="18" spans="1:15" x14ac:dyDescent="0.3">
      <c r="A18" s="2">
        <v>16</v>
      </c>
      <c r="B18" s="2" t="str">
        <f>WLs!C19</f>
        <v>Lepelaarplassen</v>
      </c>
      <c r="C18" s="20"/>
      <c r="D18" s="20"/>
      <c r="E18" s="20">
        <v>0.92</v>
      </c>
      <c r="F18" s="20"/>
      <c r="G18" s="20"/>
      <c r="H18" s="20">
        <v>1</v>
      </c>
      <c r="I18" s="20"/>
      <c r="J18" s="20">
        <v>1.7999999999999998</v>
      </c>
      <c r="K18" s="20">
        <v>1.3</v>
      </c>
      <c r="L18" s="20">
        <v>1.2</v>
      </c>
      <c r="M18" s="20">
        <v>2.7</v>
      </c>
      <c r="N18" s="20">
        <v>1.6666666666666667</v>
      </c>
      <c r="O18" s="20">
        <v>1.4</v>
      </c>
    </row>
    <row r="19" spans="1:15" x14ac:dyDescent="0.3">
      <c r="A19" s="2">
        <v>17</v>
      </c>
      <c r="B19" s="2" t="str">
        <f>WLs!C20</f>
        <v>Noorderplassen</v>
      </c>
      <c r="C19" s="20">
        <v>1.9</v>
      </c>
      <c r="D19" s="20">
        <v>1.6</v>
      </c>
      <c r="E19" s="20">
        <v>1.3</v>
      </c>
      <c r="F19" s="20">
        <v>1.4</v>
      </c>
      <c r="G19" s="20">
        <v>1.2</v>
      </c>
      <c r="H19" s="20">
        <v>0.96</v>
      </c>
      <c r="I19" s="20">
        <v>1.2</v>
      </c>
      <c r="J19" s="20">
        <v>1.5</v>
      </c>
      <c r="K19" s="20">
        <v>1.7</v>
      </c>
      <c r="L19" s="20">
        <v>0.94</v>
      </c>
      <c r="M19" s="20">
        <v>1.2</v>
      </c>
      <c r="N19" s="20">
        <v>1.3</v>
      </c>
      <c r="O19" s="20">
        <v>1.6</v>
      </c>
    </row>
    <row r="20" spans="1:15" x14ac:dyDescent="0.3">
      <c r="A20" s="2">
        <v>18</v>
      </c>
      <c r="B20" s="2" t="str">
        <f>WLs!C21</f>
        <v>Oostvaardersplassen</v>
      </c>
      <c r="C20" s="20">
        <v>2.9000000000000004</v>
      </c>
      <c r="D20" s="20">
        <v>10</v>
      </c>
      <c r="E20" s="20">
        <v>6.9</v>
      </c>
      <c r="F20" s="20">
        <v>4.7</v>
      </c>
      <c r="G20" s="20">
        <v>4.7</v>
      </c>
      <c r="H20" s="20">
        <v>7.8</v>
      </c>
      <c r="I20" s="20">
        <v>6</v>
      </c>
      <c r="J20" s="20">
        <v>8.1</v>
      </c>
      <c r="K20" s="20">
        <v>2.9</v>
      </c>
      <c r="L20" s="20">
        <v>3.2</v>
      </c>
      <c r="M20" s="20">
        <v>10</v>
      </c>
      <c r="N20" s="20">
        <v>23</v>
      </c>
      <c r="O20" s="20">
        <v>3.85</v>
      </c>
    </row>
    <row r="21" spans="1:15" x14ac:dyDescent="0.3">
      <c r="A21" s="2">
        <v>19</v>
      </c>
      <c r="B21" s="2" t="str">
        <f>WLs!C22</f>
        <v>Vollenhover- en Kadoelermeer</v>
      </c>
      <c r="C21" s="20">
        <v>2.2000000000000002</v>
      </c>
      <c r="D21" s="20">
        <v>1.8</v>
      </c>
      <c r="E21" s="20">
        <v>3.1</v>
      </c>
      <c r="F21" s="20">
        <v>2.1</v>
      </c>
      <c r="G21" s="20">
        <v>1.9</v>
      </c>
      <c r="H21" s="20">
        <v>1.7999999999999998</v>
      </c>
      <c r="I21" s="20">
        <v>1.5</v>
      </c>
      <c r="J21" s="20">
        <v>1.35</v>
      </c>
      <c r="K21" s="20">
        <v>1.6</v>
      </c>
      <c r="L21" s="20">
        <v>2.4</v>
      </c>
      <c r="M21" s="20">
        <v>1.75</v>
      </c>
      <c r="N21" s="20">
        <v>2.4</v>
      </c>
      <c r="O21" s="20">
        <v>2.6</v>
      </c>
    </row>
    <row r="22" spans="1:15" x14ac:dyDescent="0.3">
      <c r="A22" s="2">
        <v>20</v>
      </c>
      <c r="B22" s="2" t="str">
        <f>WLs!C23</f>
        <v>Weerwater</v>
      </c>
      <c r="C22" s="20">
        <v>0.46</v>
      </c>
      <c r="D22" s="20">
        <v>0.81</v>
      </c>
      <c r="E22" s="20">
        <v>0.95</v>
      </c>
      <c r="F22" s="20">
        <v>0.88</v>
      </c>
      <c r="G22" s="20">
        <v>0.57999999999999996</v>
      </c>
      <c r="H22" s="20">
        <v>0.45</v>
      </c>
      <c r="I22" s="20">
        <v>0.5</v>
      </c>
      <c r="J22" s="20">
        <v>0.48</v>
      </c>
      <c r="K22" s="20">
        <v>0.44</v>
      </c>
      <c r="L22" s="20">
        <v>0.28000000000000003</v>
      </c>
      <c r="M22" s="20">
        <v>0.52</v>
      </c>
      <c r="N22" s="20">
        <v>0.62</v>
      </c>
      <c r="O22" s="20">
        <v>0.57999999999999996</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6D07-37FA-4AD5-9924-8B81CC62E525}">
  <dimension ref="A1:T22"/>
  <sheetViews>
    <sheetView workbookViewId="0"/>
  </sheetViews>
  <sheetFormatPr defaultRowHeight="14.4" x14ac:dyDescent="0.3"/>
  <cols>
    <col min="1" max="1" width="5.5546875" customWidth="1"/>
    <col min="2" max="2" width="29" customWidth="1"/>
    <col min="3" max="15" width="8.44140625" customWidth="1"/>
  </cols>
  <sheetData>
    <row r="1" spans="1:20" ht="18" x14ac:dyDescent="0.35">
      <c r="A1" s="5" t="s">
        <v>483</v>
      </c>
      <c r="C1">
        <v>3</v>
      </c>
      <c r="D1">
        <f>C1+1</f>
        <v>4</v>
      </c>
      <c r="E1">
        <f t="shared" ref="E1:O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row>
    <row r="2" spans="1:20" x14ac:dyDescent="0.3">
      <c r="A2" s="3" t="s">
        <v>149</v>
      </c>
      <c r="B2" s="1" t="s">
        <v>150</v>
      </c>
      <c r="C2" s="1">
        <v>2012</v>
      </c>
      <c r="D2" s="1">
        <v>2013</v>
      </c>
      <c r="E2" s="1">
        <v>2014</v>
      </c>
      <c r="F2" s="4">
        <v>2015</v>
      </c>
      <c r="G2" s="4">
        <v>2016</v>
      </c>
      <c r="H2" s="4">
        <v>2017</v>
      </c>
      <c r="I2" s="4">
        <v>2018</v>
      </c>
      <c r="J2" s="4">
        <v>2019</v>
      </c>
      <c r="K2" s="4">
        <v>2020</v>
      </c>
      <c r="L2" s="4">
        <v>2021</v>
      </c>
      <c r="M2" s="4">
        <v>2022</v>
      </c>
      <c r="N2" s="4">
        <v>2023</v>
      </c>
      <c r="O2" s="4">
        <v>2024</v>
      </c>
    </row>
    <row r="3" spans="1:20" x14ac:dyDescent="0.3">
      <c r="A3" s="2">
        <v>1</v>
      </c>
      <c r="B3" s="2" t="str">
        <f>WLs!C4</f>
        <v>Tochten ABC1</v>
      </c>
      <c r="C3" s="26"/>
      <c r="D3" s="26">
        <v>76.14</v>
      </c>
      <c r="E3" s="26"/>
      <c r="F3" s="26"/>
      <c r="G3" s="26">
        <v>65.8</v>
      </c>
      <c r="H3" s="26"/>
      <c r="I3" s="26"/>
      <c r="J3" s="26">
        <v>73.2</v>
      </c>
      <c r="K3" s="26"/>
      <c r="L3" s="26"/>
      <c r="M3" s="26">
        <v>90.4</v>
      </c>
      <c r="N3" s="26"/>
      <c r="O3" s="26"/>
      <c r="P3" s="27"/>
      <c r="Q3" s="27"/>
      <c r="R3" s="27"/>
      <c r="S3" s="27"/>
      <c r="T3" s="27"/>
    </row>
    <row r="4" spans="1:20" x14ac:dyDescent="0.3">
      <c r="A4" s="2">
        <v>2</v>
      </c>
      <c r="B4" s="2" t="str">
        <f>WLs!C5</f>
        <v>Tochten ABC2</v>
      </c>
      <c r="C4" s="26">
        <v>123.95714285714287</v>
      </c>
      <c r="D4" s="26">
        <v>121.06363636363636</v>
      </c>
      <c r="E4" s="26">
        <v>152.16666666666666</v>
      </c>
      <c r="F4" s="26">
        <v>139.33333333333334</v>
      </c>
      <c r="G4" s="26">
        <v>99.818181818181813</v>
      </c>
      <c r="H4" s="26">
        <v>145</v>
      </c>
      <c r="I4" s="26">
        <v>136</v>
      </c>
      <c r="J4" s="26">
        <v>115.98181818181818</v>
      </c>
      <c r="K4" s="26">
        <v>156.33333333333334</v>
      </c>
      <c r="L4" s="26">
        <v>145.16666666666666</v>
      </c>
      <c r="M4" s="26">
        <v>105.61818181818181</v>
      </c>
      <c r="N4" s="26">
        <v>134.5</v>
      </c>
      <c r="O4" s="26">
        <v>122.63333333333333</v>
      </c>
      <c r="P4" s="27"/>
      <c r="Q4" s="27"/>
      <c r="R4" s="27"/>
      <c r="S4" s="27"/>
      <c r="T4" s="27"/>
    </row>
    <row r="5" spans="1:20" x14ac:dyDescent="0.3">
      <c r="A5" s="2">
        <v>3</v>
      </c>
      <c r="B5" s="2" t="str">
        <f>WLs!C6</f>
        <v>Tochten DE Almere</v>
      </c>
      <c r="C5" s="2"/>
      <c r="D5" s="2"/>
      <c r="E5" s="26">
        <v>291.5</v>
      </c>
      <c r="F5" s="26"/>
      <c r="G5" s="26"/>
      <c r="H5" s="26">
        <v>315</v>
      </c>
      <c r="I5" s="26"/>
      <c r="J5" s="26"/>
      <c r="K5" s="26">
        <v>350</v>
      </c>
      <c r="L5" s="26"/>
      <c r="M5" s="26"/>
      <c r="N5" s="26">
        <v>330</v>
      </c>
      <c r="O5" s="26"/>
      <c r="R5" s="27"/>
    </row>
    <row r="6" spans="1:20" x14ac:dyDescent="0.3">
      <c r="A6" s="2">
        <v>4</v>
      </c>
      <c r="B6" s="2" t="str">
        <f>WLs!C7</f>
        <v>Tochten DE Zuidlob</v>
      </c>
      <c r="C6" s="2"/>
      <c r="D6" s="2"/>
      <c r="E6" s="26">
        <v>257</v>
      </c>
      <c r="F6" s="26">
        <v>236</v>
      </c>
      <c r="G6" s="26">
        <v>250</v>
      </c>
      <c r="H6" s="26">
        <v>248.4</v>
      </c>
      <c r="I6" s="26">
        <v>190</v>
      </c>
      <c r="J6" s="26">
        <v>242</v>
      </c>
      <c r="K6" s="26">
        <v>220.2</v>
      </c>
      <c r="L6" s="26">
        <v>235</v>
      </c>
      <c r="M6" s="26">
        <v>208</v>
      </c>
      <c r="N6" s="26">
        <v>187.4</v>
      </c>
      <c r="O6" s="26">
        <v>168.5</v>
      </c>
      <c r="R6" s="27"/>
    </row>
    <row r="7" spans="1:20" x14ac:dyDescent="0.3">
      <c r="A7" s="2">
        <v>5</v>
      </c>
      <c r="B7" s="2" t="str">
        <f>WLs!C8</f>
        <v>Tochten FGIK</v>
      </c>
      <c r="C7" s="26">
        <v>369</v>
      </c>
      <c r="D7" s="26">
        <v>395.66666666666669</v>
      </c>
      <c r="E7" s="26">
        <v>459.23076923076923</v>
      </c>
      <c r="F7" s="26">
        <v>429.66</v>
      </c>
      <c r="G7" s="26">
        <v>328.95</v>
      </c>
      <c r="H7" s="26">
        <v>433.2923076923077</v>
      </c>
      <c r="I7" s="26">
        <v>422</v>
      </c>
      <c r="J7" s="26">
        <v>424.93999999999994</v>
      </c>
      <c r="K7" s="26">
        <v>431.80833333333334</v>
      </c>
      <c r="L7" s="26">
        <v>327.83333333333331</v>
      </c>
      <c r="M7" s="26">
        <v>373.2</v>
      </c>
      <c r="N7" s="26">
        <v>383.06153846153848</v>
      </c>
      <c r="O7" s="26">
        <v>275.60000000000002</v>
      </c>
      <c r="P7" s="27"/>
      <c r="Q7" s="27"/>
      <c r="R7" s="27"/>
      <c r="S7" s="27"/>
      <c r="T7" s="27"/>
    </row>
    <row r="8" spans="1:20" x14ac:dyDescent="0.3">
      <c r="A8" s="2">
        <v>6</v>
      </c>
      <c r="B8" s="2" t="str">
        <f>WLs!C9</f>
        <v>Tochten H</v>
      </c>
      <c r="C8" s="26">
        <v>230</v>
      </c>
      <c r="D8" s="26">
        <v>210</v>
      </c>
      <c r="E8" s="26">
        <v>222</v>
      </c>
      <c r="F8" s="26">
        <v>253</v>
      </c>
      <c r="G8" s="26">
        <v>268</v>
      </c>
      <c r="H8" s="26">
        <v>279</v>
      </c>
      <c r="I8" s="26">
        <v>246</v>
      </c>
      <c r="J8" s="26">
        <v>243</v>
      </c>
      <c r="K8" s="26">
        <v>235</v>
      </c>
      <c r="L8" s="26">
        <v>236</v>
      </c>
      <c r="M8" s="26">
        <v>220</v>
      </c>
      <c r="N8" s="26">
        <v>227</v>
      </c>
      <c r="O8" s="26">
        <v>222</v>
      </c>
      <c r="P8" s="27"/>
      <c r="Q8" s="27"/>
      <c r="R8" s="27"/>
      <c r="S8" s="27"/>
      <c r="T8" s="27"/>
    </row>
    <row r="9" spans="1:20" x14ac:dyDescent="0.3">
      <c r="A9" s="2">
        <v>7</v>
      </c>
      <c r="B9" s="2" t="str">
        <f>WLs!C10</f>
        <v>Tochten J</v>
      </c>
      <c r="C9" s="26">
        <v>569.20000000000005</v>
      </c>
      <c r="D9" s="26">
        <v>937</v>
      </c>
      <c r="E9" s="26">
        <v>647.79999999999995</v>
      </c>
      <c r="F9" s="26">
        <v>549.29999999999995</v>
      </c>
      <c r="G9" s="26">
        <v>671.3</v>
      </c>
      <c r="H9" s="26">
        <v>638.79999999999995</v>
      </c>
      <c r="I9" s="26">
        <v>518.20000000000005</v>
      </c>
      <c r="J9" s="26">
        <v>934.4</v>
      </c>
      <c r="K9" s="26">
        <v>845.8</v>
      </c>
      <c r="L9" s="26">
        <v>634.70000000000005</v>
      </c>
      <c r="M9" s="26">
        <v>895</v>
      </c>
      <c r="N9" s="26">
        <v>767.5</v>
      </c>
      <c r="O9" s="26">
        <v>585.79999999999995</v>
      </c>
      <c r="P9" s="27"/>
      <c r="Q9" s="27"/>
      <c r="R9" s="27"/>
      <c r="S9" s="27"/>
      <c r="T9" s="27"/>
    </row>
    <row r="10" spans="1:20" x14ac:dyDescent="0.3">
      <c r="A10" s="2">
        <v>8</v>
      </c>
      <c r="B10" s="2" t="str">
        <f>WLs!C11</f>
        <v>Tochten lage afdeling NOP</v>
      </c>
      <c r="C10" s="26">
        <v>377.51249999999999</v>
      </c>
      <c r="D10" s="26">
        <v>434.70000000000005</v>
      </c>
      <c r="E10" s="26">
        <v>452.4111111111111</v>
      </c>
      <c r="F10" s="26">
        <v>388.9041666666667</v>
      </c>
      <c r="G10" s="26">
        <v>391.36363636363637</v>
      </c>
      <c r="H10" s="26">
        <v>401.79090909090905</v>
      </c>
      <c r="I10" s="26">
        <v>416.98750000000001</v>
      </c>
      <c r="J10" s="26">
        <v>438.27272727272725</v>
      </c>
      <c r="K10" s="26">
        <v>388.81818181818181</v>
      </c>
      <c r="L10" s="26">
        <v>362.5291666666667</v>
      </c>
      <c r="M10" s="26">
        <v>350.88888888888891</v>
      </c>
      <c r="N10" s="26">
        <v>351.66666666666669</v>
      </c>
      <c r="O10" s="26">
        <v>350.48750000000001</v>
      </c>
      <c r="P10" s="27"/>
      <c r="Q10" s="27"/>
      <c r="R10" s="27"/>
      <c r="S10" s="27"/>
      <c r="T10" s="27"/>
    </row>
    <row r="11" spans="1:20" x14ac:dyDescent="0.3">
      <c r="A11" s="2">
        <v>9</v>
      </c>
      <c r="B11" s="2" t="str">
        <f>WLs!C12</f>
        <v>Tochten hoge afdeling NOP</v>
      </c>
      <c r="C11" s="26">
        <v>160.5</v>
      </c>
      <c r="D11" s="26">
        <v>141.85999999999999</v>
      </c>
      <c r="E11" s="26">
        <v>177.5</v>
      </c>
      <c r="F11" s="26">
        <v>163</v>
      </c>
      <c r="G11" s="26">
        <v>129.19999999999999</v>
      </c>
      <c r="H11" s="26">
        <v>168</v>
      </c>
      <c r="I11" s="26">
        <v>171.5</v>
      </c>
      <c r="J11" s="26">
        <v>133.16666666666666</v>
      </c>
      <c r="K11" s="26">
        <v>152.5</v>
      </c>
      <c r="L11" s="26">
        <v>161</v>
      </c>
      <c r="M11" s="26">
        <v>120.66666666666667</v>
      </c>
      <c r="N11" s="26">
        <v>150</v>
      </c>
      <c r="O11" s="26">
        <v>143</v>
      </c>
      <c r="P11" s="27"/>
      <c r="Q11" s="27"/>
      <c r="R11" s="27"/>
      <c r="S11" s="27"/>
      <c r="T11" s="27"/>
    </row>
    <row r="12" spans="1:20" x14ac:dyDescent="0.3">
      <c r="A12" s="2">
        <v>10</v>
      </c>
      <c r="B12" s="2" t="str">
        <f>WLs!C13</f>
        <v>Vaarten NOP</v>
      </c>
      <c r="C12" s="26">
        <v>256.44</v>
      </c>
      <c r="D12" s="26">
        <v>250.75</v>
      </c>
      <c r="E12" s="26">
        <v>221</v>
      </c>
      <c r="F12" s="26">
        <v>232</v>
      </c>
      <c r="G12" s="26">
        <v>228.2</v>
      </c>
      <c r="H12" s="26">
        <v>229</v>
      </c>
      <c r="I12" s="26">
        <v>237.2</v>
      </c>
      <c r="J12" s="26">
        <v>240</v>
      </c>
      <c r="K12" s="26">
        <v>246.75</v>
      </c>
      <c r="L12" s="26">
        <v>254.88000000000002</v>
      </c>
      <c r="M12" s="26">
        <v>238</v>
      </c>
      <c r="N12" s="26">
        <v>224.7</v>
      </c>
      <c r="O12" s="26">
        <v>239.6</v>
      </c>
      <c r="P12" s="27"/>
      <c r="Q12" s="27"/>
      <c r="R12" s="27"/>
      <c r="S12" s="27"/>
      <c r="T12" s="27"/>
    </row>
    <row r="13" spans="1:20" x14ac:dyDescent="0.3">
      <c r="A13" s="2">
        <v>11</v>
      </c>
      <c r="B13" s="2" t="str">
        <f>WLs!C14</f>
        <v>Vaarten hoge afdeling ZOF</v>
      </c>
      <c r="C13" s="26">
        <v>206.2</v>
      </c>
      <c r="D13" s="26">
        <v>210.625</v>
      </c>
      <c r="E13" s="26">
        <v>195.8</v>
      </c>
      <c r="F13" s="26">
        <v>195.57142857142858</v>
      </c>
      <c r="G13" s="26">
        <v>182.55</v>
      </c>
      <c r="H13" s="26">
        <v>193.94285714285712</v>
      </c>
      <c r="I13" s="26">
        <v>162.42857142857142</v>
      </c>
      <c r="J13" s="26">
        <v>196.5</v>
      </c>
      <c r="K13" s="26">
        <v>198</v>
      </c>
      <c r="L13" s="26">
        <v>195.6</v>
      </c>
      <c r="M13" s="26">
        <v>189.75</v>
      </c>
      <c r="N13" s="26">
        <v>182.6</v>
      </c>
      <c r="O13" s="26">
        <v>171.2</v>
      </c>
      <c r="P13" s="27"/>
      <c r="Q13" s="27"/>
      <c r="R13" s="27"/>
      <c r="S13" s="27"/>
      <c r="T13" s="27"/>
    </row>
    <row r="14" spans="1:20" x14ac:dyDescent="0.3">
      <c r="A14" s="2">
        <v>12</v>
      </c>
      <c r="B14" s="2" t="str">
        <f>WLs!C15</f>
        <v>Vaarten lage afdeling ZOF</v>
      </c>
      <c r="C14" s="26">
        <v>457</v>
      </c>
      <c r="D14" s="26">
        <v>527.85714285714289</v>
      </c>
      <c r="E14" s="26">
        <v>434.8</v>
      </c>
      <c r="F14" s="26">
        <v>445</v>
      </c>
      <c r="G14" s="26">
        <v>473.09999999999997</v>
      </c>
      <c r="H14" s="26">
        <v>521</v>
      </c>
      <c r="I14" s="26">
        <v>500.42857142857144</v>
      </c>
      <c r="J14" s="26">
        <v>621.24285714285713</v>
      </c>
      <c r="K14" s="26">
        <v>562.87</v>
      </c>
      <c r="L14" s="26">
        <v>581.14285714285711</v>
      </c>
      <c r="M14" s="26">
        <v>549.42857142857144</v>
      </c>
      <c r="N14" s="26">
        <v>495.6</v>
      </c>
      <c r="O14" s="26">
        <v>511.18571428571431</v>
      </c>
      <c r="P14" s="27"/>
      <c r="Q14" s="27"/>
      <c r="R14" s="27"/>
      <c r="S14" s="27"/>
      <c r="T14" s="27"/>
    </row>
    <row r="15" spans="1:20" x14ac:dyDescent="0.3">
      <c r="A15" s="2">
        <v>13</v>
      </c>
      <c r="B15" s="2" t="str">
        <f>WLs!C16</f>
        <v>Bovenwater</v>
      </c>
      <c r="C15" s="26">
        <v>94</v>
      </c>
      <c r="D15" s="26">
        <v>94.7</v>
      </c>
      <c r="E15" s="26">
        <v>91</v>
      </c>
      <c r="F15" s="26">
        <v>95.3</v>
      </c>
      <c r="G15" s="26">
        <v>90.8</v>
      </c>
      <c r="H15" s="26">
        <v>102</v>
      </c>
      <c r="I15" s="26">
        <v>109</v>
      </c>
      <c r="J15" s="26">
        <v>125</v>
      </c>
      <c r="K15" s="26">
        <v>121</v>
      </c>
      <c r="L15" s="26">
        <v>110</v>
      </c>
      <c r="M15" s="26">
        <v>113</v>
      </c>
      <c r="N15" s="26">
        <v>112</v>
      </c>
      <c r="O15" s="26">
        <v>89</v>
      </c>
      <c r="P15" s="27"/>
      <c r="Q15" s="27"/>
      <c r="R15" s="27"/>
      <c r="S15" s="27"/>
      <c r="T15" s="27"/>
    </row>
    <row r="16" spans="1:20" x14ac:dyDescent="0.3">
      <c r="A16" s="2">
        <v>14</v>
      </c>
      <c r="B16" s="2" t="str">
        <f>WLs!C17</f>
        <v>Harderbroek (oude deel)</v>
      </c>
      <c r="C16" s="26">
        <v>102</v>
      </c>
      <c r="D16" s="26">
        <v>105</v>
      </c>
      <c r="E16" s="26">
        <v>98.8</v>
      </c>
      <c r="F16" s="26">
        <v>98.7</v>
      </c>
      <c r="G16" s="26">
        <v>88.8</v>
      </c>
      <c r="H16" s="26">
        <v>95.7</v>
      </c>
      <c r="I16" s="26">
        <v>122</v>
      </c>
      <c r="J16" s="26">
        <v>109</v>
      </c>
      <c r="K16" s="26">
        <v>78</v>
      </c>
      <c r="L16" s="26">
        <v>94</v>
      </c>
      <c r="M16" s="26">
        <v>113</v>
      </c>
      <c r="N16" s="26">
        <v>170</v>
      </c>
      <c r="O16" s="26"/>
      <c r="P16" s="27"/>
      <c r="Q16" s="27"/>
      <c r="R16" s="27"/>
      <c r="S16" s="27"/>
      <c r="T16" s="27"/>
    </row>
    <row r="17" spans="1:20" x14ac:dyDescent="0.3">
      <c r="A17" s="2">
        <v>15</v>
      </c>
      <c r="B17" s="2" t="str">
        <f>WLs!C18</f>
        <v>Harderbroek Roerdomp</v>
      </c>
      <c r="C17" s="26">
        <v>38</v>
      </c>
      <c r="D17" s="26"/>
      <c r="E17" s="26"/>
      <c r="F17" s="26">
        <v>47</v>
      </c>
      <c r="G17" s="26"/>
      <c r="H17" s="26"/>
      <c r="I17" s="26">
        <v>67.599999999999994</v>
      </c>
      <c r="J17" s="26"/>
      <c r="K17" s="26">
        <v>60</v>
      </c>
      <c r="L17" s="26">
        <v>45</v>
      </c>
      <c r="M17" s="26">
        <v>47</v>
      </c>
      <c r="N17" s="26">
        <v>41</v>
      </c>
      <c r="O17" s="26">
        <v>36</v>
      </c>
      <c r="P17" s="27"/>
      <c r="Q17" s="27"/>
      <c r="R17" s="27"/>
      <c r="S17" s="27"/>
      <c r="T17" s="27"/>
    </row>
    <row r="18" spans="1:20" x14ac:dyDescent="0.3">
      <c r="A18" s="2">
        <v>16</v>
      </c>
      <c r="B18" s="2" t="str">
        <f>WLs!C19</f>
        <v>Lepelaarplassen</v>
      </c>
      <c r="C18" s="26"/>
      <c r="D18" s="26"/>
      <c r="E18" s="26">
        <v>138</v>
      </c>
      <c r="F18" s="26"/>
      <c r="G18" s="26"/>
      <c r="H18" s="26">
        <v>122</v>
      </c>
      <c r="I18" s="26"/>
      <c r="J18" s="26">
        <v>150.33333333333334</v>
      </c>
      <c r="K18" s="26">
        <v>135</v>
      </c>
      <c r="L18" s="26">
        <v>115</v>
      </c>
      <c r="M18" s="26">
        <v>135</v>
      </c>
      <c r="N18" s="26">
        <v>107</v>
      </c>
      <c r="O18" s="26">
        <v>99.5</v>
      </c>
      <c r="P18" s="27"/>
      <c r="Q18" s="27"/>
      <c r="R18" s="27"/>
      <c r="S18" s="27"/>
      <c r="T18" s="27"/>
    </row>
    <row r="19" spans="1:20" x14ac:dyDescent="0.3">
      <c r="A19" s="2">
        <v>17</v>
      </c>
      <c r="B19" s="2" t="str">
        <f>WLs!C20</f>
        <v>Noorderplassen</v>
      </c>
      <c r="C19" s="26">
        <v>350</v>
      </c>
      <c r="D19" s="26">
        <v>355</v>
      </c>
      <c r="E19" s="26">
        <v>360</v>
      </c>
      <c r="F19" s="26">
        <v>385</v>
      </c>
      <c r="G19" s="26">
        <v>347</v>
      </c>
      <c r="H19" s="26">
        <v>388</v>
      </c>
      <c r="I19" s="26">
        <v>311</v>
      </c>
      <c r="J19" s="26">
        <v>370</v>
      </c>
      <c r="K19" s="26">
        <v>323</v>
      </c>
      <c r="L19" s="26">
        <v>360</v>
      </c>
      <c r="M19" s="26">
        <v>377</v>
      </c>
      <c r="N19" s="26">
        <v>355</v>
      </c>
      <c r="O19" s="26">
        <v>312</v>
      </c>
      <c r="P19" s="27"/>
      <c r="Q19" s="27"/>
      <c r="R19" s="27"/>
      <c r="S19" s="27"/>
      <c r="T19" s="27"/>
    </row>
    <row r="20" spans="1:20" x14ac:dyDescent="0.3">
      <c r="A20" s="2">
        <v>18</v>
      </c>
      <c r="B20" s="2" t="str">
        <f>WLs!C21</f>
        <v>Oostvaardersplassen</v>
      </c>
      <c r="C20" s="26">
        <v>81.400000000000006</v>
      </c>
      <c r="D20" s="26">
        <v>68</v>
      </c>
      <c r="E20" s="26">
        <v>68</v>
      </c>
      <c r="F20" s="26">
        <v>97</v>
      </c>
      <c r="G20" s="26">
        <v>75</v>
      </c>
      <c r="H20" s="26">
        <v>105</v>
      </c>
      <c r="I20" s="26">
        <v>111.9</v>
      </c>
      <c r="J20" s="26">
        <v>129</v>
      </c>
      <c r="K20" s="26">
        <v>107</v>
      </c>
      <c r="L20" s="26">
        <v>96</v>
      </c>
      <c r="M20" s="26">
        <v>107</v>
      </c>
      <c r="N20" s="26">
        <v>136</v>
      </c>
      <c r="O20" s="26">
        <v>70.599999999999994</v>
      </c>
      <c r="P20" s="27"/>
      <c r="Q20" s="27"/>
      <c r="R20" s="27"/>
      <c r="S20" s="27"/>
      <c r="T20" s="27"/>
    </row>
    <row r="21" spans="1:20" x14ac:dyDescent="0.3">
      <c r="A21" s="2">
        <v>19</v>
      </c>
      <c r="B21" s="2" t="str">
        <f>WLs!C22</f>
        <v>Vollenhover- en Kadoelermeer</v>
      </c>
      <c r="C21" s="26">
        <v>56</v>
      </c>
      <c r="D21" s="26">
        <v>62</v>
      </c>
      <c r="E21" s="26">
        <v>52</v>
      </c>
      <c r="F21" s="26">
        <v>55</v>
      </c>
      <c r="G21" s="26">
        <v>41.5</v>
      </c>
      <c r="H21" s="26">
        <v>65.900000000000006</v>
      </c>
      <c r="I21" s="26">
        <v>71</v>
      </c>
      <c r="J21" s="26">
        <v>68.5</v>
      </c>
      <c r="K21" s="26">
        <v>71</v>
      </c>
      <c r="L21" s="26">
        <v>54</v>
      </c>
      <c r="M21" s="26">
        <v>66.5</v>
      </c>
      <c r="N21" s="26">
        <v>57</v>
      </c>
      <c r="O21" s="26">
        <v>43</v>
      </c>
      <c r="P21" s="27"/>
      <c r="Q21" s="27"/>
      <c r="R21" s="27"/>
      <c r="S21" s="27"/>
      <c r="T21" s="27"/>
    </row>
    <row r="22" spans="1:20" x14ac:dyDescent="0.3">
      <c r="A22" s="2">
        <v>20</v>
      </c>
      <c r="B22" s="2" t="str">
        <f>WLs!C23</f>
        <v>Weerwater</v>
      </c>
      <c r="C22" s="26">
        <v>192</v>
      </c>
      <c r="D22" s="26">
        <v>192</v>
      </c>
      <c r="E22" s="26">
        <v>178</v>
      </c>
      <c r="F22" s="26">
        <v>201</v>
      </c>
      <c r="G22" s="26">
        <v>163</v>
      </c>
      <c r="H22" s="26">
        <v>181</v>
      </c>
      <c r="I22" s="26">
        <v>172</v>
      </c>
      <c r="J22" s="26">
        <v>181</v>
      </c>
      <c r="K22" s="26">
        <v>157</v>
      </c>
      <c r="L22" s="26">
        <v>150</v>
      </c>
      <c r="M22" s="26">
        <v>157</v>
      </c>
      <c r="N22" s="26">
        <v>148</v>
      </c>
      <c r="O22" s="26">
        <v>123</v>
      </c>
      <c r="P22" s="27"/>
      <c r="Q22" s="27"/>
      <c r="R22" s="27"/>
      <c r="S22" s="27"/>
      <c r="T22" s="2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E4E1-1EAD-4E9D-AC79-2B23116E8ECD}">
  <dimension ref="A1:O22"/>
  <sheetViews>
    <sheetView workbookViewId="0"/>
  </sheetViews>
  <sheetFormatPr defaultRowHeight="14.4" x14ac:dyDescent="0.3"/>
  <cols>
    <col min="1" max="1" width="5.5546875" customWidth="1"/>
    <col min="2" max="2" width="29" customWidth="1"/>
    <col min="3" max="15" width="8.44140625" customWidth="1"/>
    <col min="17" max="17" width="28.44140625" customWidth="1"/>
  </cols>
  <sheetData>
    <row r="1" spans="1:15" ht="18" x14ac:dyDescent="0.35">
      <c r="A1" s="5" t="s">
        <v>84</v>
      </c>
      <c r="C1">
        <v>3</v>
      </c>
      <c r="D1">
        <f>C1+1</f>
        <v>4</v>
      </c>
      <c r="E1">
        <f t="shared" ref="E1:O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row>
    <row r="2" spans="1:15" x14ac:dyDescent="0.3">
      <c r="A2" s="3" t="s">
        <v>149</v>
      </c>
      <c r="B2" s="1" t="s">
        <v>150</v>
      </c>
      <c r="C2" s="1">
        <v>2012</v>
      </c>
      <c r="D2" s="1">
        <v>2013</v>
      </c>
      <c r="E2" s="1">
        <v>2014</v>
      </c>
      <c r="F2" s="4">
        <v>2015</v>
      </c>
      <c r="G2" s="4">
        <v>2016</v>
      </c>
      <c r="H2" s="4">
        <v>2017</v>
      </c>
      <c r="I2" s="4">
        <v>2018</v>
      </c>
      <c r="J2" s="4">
        <v>2019</v>
      </c>
      <c r="K2" s="4">
        <v>2020</v>
      </c>
      <c r="L2" s="4">
        <v>2021</v>
      </c>
      <c r="M2" s="4">
        <v>2022</v>
      </c>
      <c r="N2" s="4">
        <v>2023</v>
      </c>
      <c r="O2" s="4">
        <v>2024</v>
      </c>
    </row>
    <row r="3" spans="1:15" x14ac:dyDescent="0.3">
      <c r="A3" s="2">
        <v>1</v>
      </c>
      <c r="B3" s="2" t="str">
        <f>WLs!C4</f>
        <v>Tochten ABC1</v>
      </c>
      <c r="C3" s="2"/>
      <c r="D3" s="2"/>
      <c r="E3" s="2"/>
      <c r="F3" s="2"/>
      <c r="G3" s="2"/>
      <c r="H3" s="2"/>
      <c r="I3" s="2"/>
      <c r="J3" s="2"/>
      <c r="K3" s="2"/>
      <c r="L3" s="2"/>
      <c r="M3" s="2"/>
      <c r="N3" s="2"/>
      <c r="O3" s="2"/>
    </row>
    <row r="4" spans="1:15" x14ac:dyDescent="0.3">
      <c r="A4" s="2">
        <v>2</v>
      </c>
      <c r="B4" s="2" t="str">
        <f>WLs!C5</f>
        <v>Tochten ABC2</v>
      </c>
      <c r="C4" s="2"/>
      <c r="D4" s="2"/>
      <c r="E4" s="2"/>
      <c r="F4" s="2"/>
      <c r="G4" s="2"/>
      <c r="H4" s="2"/>
      <c r="I4" s="2"/>
      <c r="J4" s="2"/>
      <c r="K4" s="2"/>
      <c r="L4" s="2"/>
      <c r="M4" s="2"/>
      <c r="N4" s="2"/>
      <c r="O4" s="2"/>
    </row>
    <row r="5" spans="1:15" x14ac:dyDescent="0.3">
      <c r="A5" s="2">
        <v>3</v>
      </c>
      <c r="B5" s="2" t="str">
        <f>WLs!C6</f>
        <v>Tochten DE Almere</v>
      </c>
      <c r="C5" s="2"/>
      <c r="D5" s="2"/>
      <c r="E5" s="2"/>
      <c r="F5" s="2"/>
      <c r="G5" s="2"/>
      <c r="H5" s="2"/>
      <c r="I5" s="2"/>
      <c r="J5" s="2"/>
      <c r="K5" s="2"/>
      <c r="L5" s="2"/>
      <c r="M5" s="2"/>
      <c r="N5" s="2"/>
      <c r="O5" s="2"/>
    </row>
    <row r="6" spans="1:15" x14ac:dyDescent="0.3">
      <c r="A6" s="2">
        <v>4</v>
      </c>
      <c r="B6" s="2" t="str">
        <f>WLs!C7</f>
        <v>Tochten DE Zuidlob</v>
      </c>
      <c r="C6" s="2"/>
      <c r="D6" s="2"/>
      <c r="E6" s="2"/>
      <c r="F6" s="2"/>
      <c r="G6" s="2"/>
      <c r="H6" s="2"/>
      <c r="I6" s="2"/>
      <c r="J6" s="2"/>
      <c r="K6" s="2"/>
      <c r="L6" s="2"/>
      <c r="M6" s="2"/>
      <c r="N6" s="2"/>
      <c r="O6" s="2"/>
    </row>
    <row r="7" spans="1:15" x14ac:dyDescent="0.3">
      <c r="A7" s="2">
        <v>5</v>
      </c>
      <c r="B7" s="2" t="str">
        <f>WLs!C8</f>
        <v>Tochten FGIK</v>
      </c>
      <c r="C7" s="2"/>
      <c r="D7" s="2"/>
      <c r="E7" s="2"/>
      <c r="F7" s="2"/>
      <c r="G7" s="2"/>
      <c r="H7" s="2"/>
      <c r="I7" s="2"/>
      <c r="J7" s="2"/>
      <c r="K7" s="2"/>
      <c r="L7" s="2"/>
      <c r="M7" s="2"/>
      <c r="N7" s="2"/>
      <c r="O7" s="2"/>
    </row>
    <row r="8" spans="1:15" x14ac:dyDescent="0.3">
      <c r="A8" s="2">
        <v>6</v>
      </c>
      <c r="B8" s="2" t="str">
        <f>WLs!C9</f>
        <v>Tochten H</v>
      </c>
      <c r="C8" s="2"/>
      <c r="D8" s="2"/>
      <c r="E8" s="2"/>
      <c r="F8" s="2"/>
      <c r="G8" s="2"/>
      <c r="H8" s="2"/>
      <c r="I8" s="2"/>
      <c r="J8" s="2"/>
      <c r="K8" s="2"/>
      <c r="L8" s="2"/>
      <c r="M8" s="2"/>
      <c r="N8" s="2"/>
      <c r="O8" s="2"/>
    </row>
    <row r="9" spans="1:15" x14ac:dyDescent="0.3">
      <c r="A9" s="2">
        <v>7</v>
      </c>
      <c r="B9" s="2" t="str">
        <f>WLs!C10</f>
        <v>Tochten J</v>
      </c>
      <c r="C9" s="2"/>
      <c r="D9" s="2"/>
      <c r="E9" s="2"/>
      <c r="F9" s="2"/>
      <c r="G9" s="2"/>
      <c r="H9" s="2"/>
      <c r="I9" s="2"/>
      <c r="J9" s="2"/>
      <c r="K9" s="2"/>
      <c r="L9" s="2"/>
      <c r="M9" s="2"/>
      <c r="N9" s="2"/>
      <c r="O9" s="2"/>
    </row>
    <row r="10" spans="1:15" x14ac:dyDescent="0.3">
      <c r="A10" s="2">
        <v>8</v>
      </c>
      <c r="B10" s="2" t="str">
        <f>WLs!C11</f>
        <v>Tochten lage afdeling NOP</v>
      </c>
      <c r="C10" s="2"/>
      <c r="D10" s="2"/>
      <c r="E10" s="2"/>
      <c r="F10" s="2"/>
      <c r="G10" s="2"/>
      <c r="H10" s="2"/>
      <c r="I10" s="2"/>
      <c r="J10" s="2"/>
      <c r="K10" s="2"/>
      <c r="L10" s="2"/>
      <c r="M10" s="2"/>
      <c r="N10" s="2"/>
      <c r="O10" s="2"/>
    </row>
    <row r="11" spans="1:15" x14ac:dyDescent="0.3">
      <c r="A11" s="2">
        <v>9</v>
      </c>
      <c r="B11" s="2" t="str">
        <f>WLs!C12</f>
        <v>Tochten hoge afdeling NOP</v>
      </c>
      <c r="C11" s="2"/>
      <c r="D11" s="2"/>
      <c r="E11" s="2"/>
      <c r="F11" s="2"/>
      <c r="G11" s="2"/>
      <c r="H11" s="2"/>
      <c r="I11" s="2"/>
      <c r="J11" s="2"/>
      <c r="K11" s="2"/>
      <c r="L11" s="2"/>
      <c r="M11" s="2"/>
      <c r="N11" s="2"/>
      <c r="O11" s="2"/>
    </row>
    <row r="12" spans="1:15" x14ac:dyDescent="0.3">
      <c r="A12" s="2">
        <v>10</v>
      </c>
      <c r="B12" s="2" t="str">
        <f>WLs!C13</f>
        <v>Vaarten NOP</v>
      </c>
      <c r="C12" s="20">
        <v>0.64200000000000013</v>
      </c>
      <c r="D12" s="20">
        <v>0.76</v>
      </c>
      <c r="E12" s="20">
        <v>0.84424999999999994</v>
      </c>
      <c r="F12" s="20">
        <v>0.64759999999999995</v>
      </c>
      <c r="G12" s="20">
        <v>0.74325000000000008</v>
      </c>
      <c r="H12" s="20">
        <v>0.89924999999999999</v>
      </c>
      <c r="I12" s="20">
        <v>0.79359999999999997</v>
      </c>
      <c r="J12" s="20">
        <v>0.98825000000000007</v>
      </c>
      <c r="K12" s="20">
        <v>0.91699999999999993</v>
      </c>
      <c r="L12" s="20">
        <v>0.83520000000000005</v>
      </c>
      <c r="M12" s="20">
        <v>0.89324999999999988</v>
      </c>
      <c r="N12" s="20">
        <v>0.8125</v>
      </c>
      <c r="O12" s="20">
        <v>0.70899999999999996</v>
      </c>
    </row>
    <row r="13" spans="1:15" x14ac:dyDescent="0.3">
      <c r="A13" s="2">
        <v>11</v>
      </c>
      <c r="B13" s="2" t="str">
        <f>WLs!C14</f>
        <v>Vaarten hoge afdeling ZOF</v>
      </c>
      <c r="C13" s="20">
        <v>1.34</v>
      </c>
      <c r="D13" s="20">
        <v>1.1499999999999999</v>
      </c>
      <c r="E13" s="20">
        <v>1.262</v>
      </c>
      <c r="F13" s="20">
        <v>1.2281428571428574</v>
      </c>
      <c r="G13" s="20">
        <v>1.3038749999999999</v>
      </c>
      <c r="H13" s="20">
        <v>1.0151428571428571</v>
      </c>
      <c r="I13" s="20">
        <v>1.0159999999999998</v>
      </c>
      <c r="J13" s="20">
        <v>1.158625</v>
      </c>
      <c r="K13" s="20">
        <v>1.1848000000000001</v>
      </c>
      <c r="L13" s="20">
        <v>1.2450000000000001</v>
      </c>
      <c r="M13" s="20">
        <v>1.1357499999999998</v>
      </c>
      <c r="N13" s="20">
        <v>1.0424</v>
      </c>
      <c r="O13" s="20">
        <v>1.095</v>
      </c>
    </row>
    <row r="14" spans="1:15" x14ac:dyDescent="0.3">
      <c r="A14" s="2">
        <v>12</v>
      </c>
      <c r="B14" s="2" t="str">
        <f>WLs!C15</f>
        <v>Vaarten lage afdeling ZOF</v>
      </c>
      <c r="C14" s="20">
        <v>0.56057142857142861</v>
      </c>
      <c r="D14" s="20">
        <v>0.61428571428571421</v>
      </c>
      <c r="E14" s="20">
        <v>0.72</v>
      </c>
      <c r="F14" s="20">
        <v>0.79514285714285726</v>
      </c>
      <c r="G14" s="20">
        <v>0.86628571428571433</v>
      </c>
      <c r="H14" s="20">
        <v>0.74299999999999999</v>
      </c>
      <c r="I14" s="20">
        <v>0.71514285714285719</v>
      </c>
      <c r="J14" s="20">
        <v>0.68728571428571439</v>
      </c>
      <c r="K14" s="20">
        <v>0.83260000000000001</v>
      </c>
      <c r="L14" s="20">
        <v>0.74099999999999999</v>
      </c>
      <c r="M14" s="20">
        <v>0.79171428571428581</v>
      </c>
      <c r="N14" s="20">
        <v>0.7288</v>
      </c>
      <c r="O14" s="20">
        <v>0.7857142857142857</v>
      </c>
    </row>
    <row r="15" spans="1:15" x14ac:dyDescent="0.3">
      <c r="A15" s="2">
        <v>13</v>
      </c>
      <c r="B15" s="2" t="str">
        <f>WLs!C16</f>
        <v>Bovenwater</v>
      </c>
      <c r="C15" s="20">
        <v>0.47899999999999998</v>
      </c>
      <c r="D15" s="20">
        <v>0.70499999999999996</v>
      </c>
      <c r="E15" s="20">
        <v>0.45</v>
      </c>
      <c r="F15" s="20">
        <v>0.59199999999999997</v>
      </c>
      <c r="G15" s="20">
        <v>0.58799999999999997</v>
      </c>
      <c r="H15" s="20">
        <v>0.5</v>
      </c>
      <c r="I15" s="20">
        <v>0.46</v>
      </c>
      <c r="J15" s="20">
        <v>0.6</v>
      </c>
      <c r="K15" s="20">
        <v>0.622</v>
      </c>
      <c r="L15" s="20">
        <v>0.42</v>
      </c>
      <c r="M15" s="20">
        <v>0.83299999999999996</v>
      </c>
      <c r="N15" s="20">
        <v>0.76700000000000002</v>
      </c>
      <c r="O15" s="20">
        <v>0.88300000000000001</v>
      </c>
    </row>
    <row r="16" spans="1:15" x14ac:dyDescent="0.3">
      <c r="A16" s="2">
        <v>14</v>
      </c>
      <c r="B16" s="2" t="str">
        <f>WLs!C17</f>
        <v>Harderbroek (oude deel)</v>
      </c>
      <c r="C16" s="20">
        <v>0.11</v>
      </c>
      <c r="D16" s="20">
        <v>0.28999999999999998</v>
      </c>
      <c r="E16" s="20">
        <v>0.26</v>
      </c>
      <c r="F16" s="20">
        <v>0.13</v>
      </c>
      <c r="G16" s="20">
        <v>0.08</v>
      </c>
      <c r="H16" s="20">
        <v>9.5000000000000001E-2</v>
      </c>
      <c r="I16" s="20">
        <v>5.8000000000000003E-2</v>
      </c>
      <c r="J16" s="20">
        <v>0.34</v>
      </c>
      <c r="K16" s="20">
        <v>8.3000000000000004E-2</v>
      </c>
      <c r="L16" s="20">
        <v>0.1</v>
      </c>
      <c r="M16" s="20">
        <v>9.1999999999999998E-2</v>
      </c>
      <c r="N16" s="20">
        <v>0.33</v>
      </c>
      <c r="O16" s="20"/>
    </row>
    <row r="17" spans="1:15" x14ac:dyDescent="0.3">
      <c r="A17" s="2">
        <v>15</v>
      </c>
      <c r="B17" s="2" t="str">
        <f>WLs!C18</f>
        <v>Harderbroek Roerdomp</v>
      </c>
      <c r="C17" s="20">
        <v>0.4</v>
      </c>
      <c r="D17" s="20"/>
      <c r="E17" s="20"/>
      <c r="F17" s="20">
        <v>0.34</v>
      </c>
      <c r="G17" s="20"/>
      <c r="H17" s="20"/>
      <c r="I17" s="20">
        <v>7.0999999999999994E-2</v>
      </c>
      <c r="J17" s="20"/>
      <c r="K17" s="20">
        <v>0.39</v>
      </c>
      <c r="L17" s="20">
        <v>0.1</v>
      </c>
      <c r="M17" s="20">
        <v>0.3</v>
      </c>
      <c r="N17" s="20">
        <v>0.69</v>
      </c>
      <c r="O17" s="20">
        <v>0.68</v>
      </c>
    </row>
    <row r="18" spans="1:15" x14ac:dyDescent="0.3">
      <c r="A18" s="2">
        <v>16</v>
      </c>
      <c r="B18" s="2" t="str">
        <f>WLs!C19</f>
        <v>Lepelaarplassen</v>
      </c>
      <c r="C18" s="20"/>
      <c r="D18" s="20"/>
      <c r="E18" s="20">
        <v>1.17</v>
      </c>
      <c r="F18" s="20"/>
      <c r="G18" s="20"/>
      <c r="H18" s="20">
        <v>1.08</v>
      </c>
      <c r="I18" s="20"/>
      <c r="J18" s="20">
        <v>1.0066666666666666</v>
      </c>
      <c r="K18" s="20">
        <v>0.9</v>
      </c>
      <c r="L18" s="20">
        <v>0.9</v>
      </c>
      <c r="M18" s="20">
        <v>0.9</v>
      </c>
      <c r="N18" s="20">
        <v>0.88866666666666683</v>
      </c>
      <c r="O18" s="20">
        <v>0.9</v>
      </c>
    </row>
    <row r="19" spans="1:15" x14ac:dyDescent="0.3">
      <c r="A19" s="2">
        <v>17</v>
      </c>
      <c r="B19" s="2" t="str">
        <f>WLs!C20</f>
        <v>Noorderplassen</v>
      </c>
      <c r="C19" s="20">
        <v>1.7</v>
      </c>
      <c r="D19" s="20">
        <v>1.7</v>
      </c>
      <c r="E19" s="20">
        <v>3.12</v>
      </c>
      <c r="F19" s="20">
        <v>1.71</v>
      </c>
      <c r="G19" s="20">
        <v>1.7</v>
      </c>
      <c r="H19" s="20">
        <v>2.46</v>
      </c>
      <c r="I19" s="20">
        <v>1.71</v>
      </c>
      <c r="J19" s="20">
        <v>1.62</v>
      </c>
      <c r="K19" s="20">
        <v>1.92</v>
      </c>
      <c r="L19" s="20">
        <v>1.7</v>
      </c>
      <c r="M19" s="20">
        <v>1.7</v>
      </c>
      <c r="N19" s="20">
        <v>2.83</v>
      </c>
      <c r="O19" s="20">
        <v>1.6</v>
      </c>
    </row>
    <row r="20" spans="1:15" x14ac:dyDescent="0.3">
      <c r="A20" s="2">
        <v>18</v>
      </c>
      <c r="B20" s="2" t="str">
        <f>WLs!C21</f>
        <v>Oostvaardersplassen</v>
      </c>
      <c r="C20" s="20">
        <v>0.2</v>
      </c>
      <c r="D20" s="20">
        <v>0.45</v>
      </c>
      <c r="E20" s="20">
        <v>2.5000000000000001E-2</v>
      </c>
      <c r="F20" s="20">
        <v>5.4000000000000006E-2</v>
      </c>
      <c r="G20" s="20">
        <v>0.17</v>
      </c>
      <c r="H20" s="20">
        <v>0.19</v>
      </c>
      <c r="I20" s="20">
        <v>0.05</v>
      </c>
      <c r="J20" s="20">
        <v>3.7999999999999999E-2</v>
      </c>
      <c r="K20" s="20">
        <v>4.7E-2</v>
      </c>
      <c r="L20" s="20">
        <v>0.27849999999999997</v>
      </c>
      <c r="M20" s="20">
        <v>0.33</v>
      </c>
      <c r="N20" s="20">
        <v>4.2000000000000003E-2</v>
      </c>
      <c r="O20" s="20">
        <v>5.8500000000000003E-2</v>
      </c>
    </row>
    <row r="21" spans="1:15" x14ac:dyDescent="0.3">
      <c r="A21" s="2">
        <v>19</v>
      </c>
      <c r="B21" s="2" t="str">
        <f>WLs!C22</f>
        <v>Vollenhover- en Kadoelermeer</v>
      </c>
      <c r="C21" s="20">
        <v>1.26</v>
      </c>
      <c r="D21" s="20">
        <v>1.1335</v>
      </c>
      <c r="E21" s="20">
        <v>1.46</v>
      </c>
      <c r="F21" s="20">
        <v>0.99349999999999994</v>
      </c>
      <c r="G21" s="20">
        <v>1.1385000000000001</v>
      </c>
      <c r="H21" s="20">
        <v>1.2250000000000001</v>
      </c>
      <c r="I21" s="20">
        <v>1.0985</v>
      </c>
      <c r="J21" s="20">
        <v>1.1535</v>
      </c>
      <c r="K21" s="20">
        <v>1.49</v>
      </c>
      <c r="L21" s="20">
        <v>1.25</v>
      </c>
      <c r="M21" s="20">
        <v>1.03</v>
      </c>
      <c r="N21" s="20">
        <v>1.06</v>
      </c>
      <c r="O21" s="20">
        <v>0.93300000000000005</v>
      </c>
    </row>
    <row r="22" spans="1:15" x14ac:dyDescent="0.3">
      <c r="A22" s="2">
        <v>20</v>
      </c>
      <c r="B22" s="2" t="str">
        <f>WLs!C23</f>
        <v>Weerwater</v>
      </c>
      <c r="C22" s="20">
        <v>1.7</v>
      </c>
      <c r="D22" s="20">
        <v>1.7</v>
      </c>
      <c r="E22" s="20">
        <v>2.25</v>
      </c>
      <c r="F22" s="20">
        <v>1.72</v>
      </c>
      <c r="G22" s="20">
        <v>1.63</v>
      </c>
      <c r="H22" s="20">
        <v>2.19</v>
      </c>
      <c r="I22" s="20">
        <v>1.69</v>
      </c>
      <c r="J22" s="20">
        <v>1.7</v>
      </c>
      <c r="K22" s="20">
        <v>1.98</v>
      </c>
      <c r="L22" s="20">
        <v>1.7</v>
      </c>
      <c r="M22" s="20">
        <v>1.7</v>
      </c>
      <c r="N22" s="20">
        <v>1.96</v>
      </c>
      <c r="O22" s="20">
        <v>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5B3A-F6BF-46CF-8BC7-67787BCA898F}">
  <dimension ref="A1:P22"/>
  <sheetViews>
    <sheetView workbookViewId="0"/>
  </sheetViews>
  <sheetFormatPr defaultRowHeight="14.4" x14ac:dyDescent="0.3"/>
  <cols>
    <col min="1" max="1" width="5.5546875" customWidth="1"/>
    <col min="2" max="2" width="29" customWidth="1"/>
    <col min="3" max="15" width="8.44140625" customWidth="1"/>
    <col min="16" max="16" width="16.21875" bestFit="1" customWidth="1"/>
  </cols>
  <sheetData>
    <row r="1" spans="1:16" ht="18" x14ac:dyDescent="0.35">
      <c r="A1" s="5" t="s">
        <v>484</v>
      </c>
      <c r="C1">
        <v>3</v>
      </c>
      <c r="D1">
        <f>C1+1</f>
        <v>4</v>
      </c>
      <c r="E1">
        <f t="shared" ref="E1:O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c r="P1">
        <v>20</v>
      </c>
    </row>
    <row r="2" spans="1:16" x14ac:dyDescent="0.3">
      <c r="A2" s="3" t="s">
        <v>149</v>
      </c>
      <c r="B2" s="1" t="s">
        <v>150</v>
      </c>
      <c r="C2" s="1">
        <v>2012</v>
      </c>
      <c r="D2" s="1">
        <v>2013</v>
      </c>
      <c r="E2" s="1">
        <v>2014</v>
      </c>
      <c r="F2" s="4">
        <v>2015</v>
      </c>
      <c r="G2" s="4">
        <v>2016</v>
      </c>
      <c r="H2" s="4">
        <v>2017</v>
      </c>
      <c r="I2" s="4">
        <v>2018</v>
      </c>
      <c r="J2" s="4">
        <v>2019</v>
      </c>
      <c r="K2" s="4">
        <v>2020</v>
      </c>
      <c r="L2" s="4">
        <v>2021</v>
      </c>
      <c r="M2" s="4">
        <v>2022</v>
      </c>
      <c r="N2" s="4">
        <v>2023</v>
      </c>
      <c r="O2" s="4">
        <v>2024</v>
      </c>
      <c r="P2" s="4" t="s">
        <v>485</v>
      </c>
    </row>
    <row r="3" spans="1:16" x14ac:dyDescent="0.3">
      <c r="A3" s="2">
        <v>1</v>
      </c>
      <c r="B3" s="2" t="str">
        <f>WLs!C4</f>
        <v>Tochten ABC1</v>
      </c>
      <c r="C3" s="26"/>
      <c r="D3" s="26">
        <v>80.650000000000006</v>
      </c>
      <c r="E3" s="26"/>
      <c r="F3" s="26"/>
      <c r="G3" s="26">
        <v>74.759999999999991</v>
      </c>
      <c r="H3" s="26"/>
      <c r="I3" s="26">
        <v>82</v>
      </c>
      <c r="J3" s="26">
        <v>74.12</v>
      </c>
      <c r="K3" s="26">
        <v>75</v>
      </c>
      <c r="L3" s="26"/>
      <c r="M3" s="26">
        <v>69.739999999999995</v>
      </c>
      <c r="N3" s="26"/>
      <c r="O3" s="26">
        <v>61.5</v>
      </c>
      <c r="P3" s="2">
        <v>120</v>
      </c>
    </row>
    <row r="4" spans="1:16" x14ac:dyDescent="0.3">
      <c r="A4" s="2">
        <v>2</v>
      </c>
      <c r="B4" s="2" t="str">
        <f>WLs!C5</f>
        <v>Tochten ABC2</v>
      </c>
      <c r="C4" s="26">
        <v>71.314285714285717</v>
      </c>
      <c r="D4" s="26">
        <v>88.656363636363636</v>
      </c>
      <c r="E4" s="26">
        <v>72.2</v>
      </c>
      <c r="F4" s="26">
        <v>76.88333333333334</v>
      </c>
      <c r="G4" s="26">
        <v>79.572727272727263</v>
      </c>
      <c r="H4" s="26">
        <v>83.638333333333335</v>
      </c>
      <c r="I4" s="26">
        <v>72.816666666666677</v>
      </c>
      <c r="J4" s="26">
        <v>79.61818181818181</v>
      </c>
      <c r="K4" s="26">
        <v>79.036666666666662</v>
      </c>
      <c r="L4" s="26">
        <v>74.413333333333341</v>
      </c>
      <c r="M4" s="26">
        <v>82.725454545454539</v>
      </c>
      <c r="N4" s="26">
        <v>80.811666666666667</v>
      </c>
      <c r="O4" s="26">
        <v>74.476666666666674</v>
      </c>
      <c r="P4" s="2">
        <v>120</v>
      </c>
    </row>
    <row r="5" spans="1:16" x14ac:dyDescent="0.3">
      <c r="A5" s="2">
        <v>3</v>
      </c>
      <c r="B5" s="2" t="str">
        <f>WLs!C6</f>
        <v>Tochten DE Almere</v>
      </c>
      <c r="C5" s="2"/>
      <c r="D5" s="2"/>
      <c r="E5" s="26">
        <v>79.84</v>
      </c>
      <c r="F5" s="26"/>
      <c r="G5" s="26"/>
      <c r="H5" s="26">
        <v>82.59</v>
      </c>
      <c r="I5" s="26"/>
      <c r="J5" s="26"/>
      <c r="K5" s="26">
        <v>71.284999999999997</v>
      </c>
      <c r="L5" s="26"/>
      <c r="M5" s="26"/>
      <c r="N5" s="26">
        <v>85.490000000000009</v>
      </c>
      <c r="O5" s="26"/>
      <c r="P5" s="2">
        <v>120</v>
      </c>
    </row>
    <row r="6" spans="1:16" x14ac:dyDescent="0.3">
      <c r="A6" s="2">
        <v>4</v>
      </c>
      <c r="B6" s="2" t="str">
        <f>WLs!C7</f>
        <v>Tochten DE Zuidlob</v>
      </c>
      <c r="C6" s="2"/>
      <c r="D6" s="2"/>
      <c r="E6" s="26">
        <v>70.84</v>
      </c>
      <c r="F6" s="26">
        <v>65.5</v>
      </c>
      <c r="G6" s="26">
        <v>96.4</v>
      </c>
      <c r="H6" s="26">
        <v>75.109999999999985</v>
      </c>
      <c r="I6" s="26">
        <v>73</v>
      </c>
      <c r="J6" s="26">
        <v>97.66</v>
      </c>
      <c r="K6" s="26">
        <v>87.575999999999993</v>
      </c>
      <c r="L6" s="26">
        <v>76.97999999999999</v>
      </c>
      <c r="M6" s="26">
        <v>72.150000000000006</v>
      </c>
      <c r="N6" s="26">
        <v>76.080000000000013</v>
      </c>
      <c r="O6" s="26">
        <v>55.45</v>
      </c>
      <c r="P6" s="2">
        <v>120</v>
      </c>
    </row>
    <row r="7" spans="1:16" x14ac:dyDescent="0.3">
      <c r="A7" s="2">
        <v>5</v>
      </c>
      <c r="B7" s="2" t="str">
        <f>WLs!C8</f>
        <v>Tochten FGIK</v>
      </c>
      <c r="C7" s="26">
        <v>93.166666666666671</v>
      </c>
      <c r="D7" s="26">
        <v>101.098</v>
      </c>
      <c r="E7" s="26">
        <v>74.115384615384627</v>
      </c>
      <c r="F7" s="26">
        <v>80.676000000000002</v>
      </c>
      <c r="G7" s="26">
        <v>75.716666666666669</v>
      </c>
      <c r="H7" s="26">
        <v>75.33461538461539</v>
      </c>
      <c r="I7" s="26">
        <v>72.513333333333335</v>
      </c>
      <c r="J7" s="26">
        <v>74.075999999999993</v>
      </c>
      <c r="K7" s="26">
        <v>82.243333333333325</v>
      </c>
      <c r="L7" s="26">
        <v>73.803333333333327</v>
      </c>
      <c r="M7" s="26">
        <v>83.1</v>
      </c>
      <c r="N7" s="26">
        <v>84.592307692307713</v>
      </c>
      <c r="O7" s="26">
        <v>76.294000000000011</v>
      </c>
      <c r="P7" s="2">
        <v>120</v>
      </c>
    </row>
    <row r="8" spans="1:16" x14ac:dyDescent="0.3">
      <c r="A8" s="2">
        <v>6</v>
      </c>
      <c r="B8" s="2" t="str">
        <f>WLs!C9</f>
        <v>Tochten H</v>
      </c>
      <c r="C8" s="26">
        <v>86.1</v>
      </c>
      <c r="D8" s="26">
        <v>91.27</v>
      </c>
      <c r="E8" s="26">
        <v>86.8</v>
      </c>
      <c r="F8" s="26">
        <v>82</v>
      </c>
      <c r="G8" s="26">
        <v>98.64</v>
      </c>
      <c r="H8" s="26">
        <v>95.45</v>
      </c>
      <c r="I8" s="26">
        <v>89.45</v>
      </c>
      <c r="J8" s="26">
        <v>89.88</v>
      </c>
      <c r="K8" s="26">
        <v>89.54</v>
      </c>
      <c r="L8" s="26">
        <v>76.67</v>
      </c>
      <c r="M8" s="26">
        <v>89.7</v>
      </c>
      <c r="N8" s="26">
        <v>100.8</v>
      </c>
      <c r="O8" s="26">
        <v>96.46</v>
      </c>
      <c r="P8" s="2">
        <v>120</v>
      </c>
    </row>
    <row r="9" spans="1:16" x14ac:dyDescent="0.3">
      <c r="A9" s="2">
        <v>7</v>
      </c>
      <c r="B9" s="2" t="str">
        <f>WLs!C10</f>
        <v>Tochten J</v>
      </c>
      <c r="C9" s="26">
        <v>54.49</v>
      </c>
      <c r="D9" s="26">
        <v>64.099999999999994</v>
      </c>
      <c r="E9" s="26">
        <v>64.400000000000006</v>
      </c>
      <c r="F9" s="26">
        <v>58.9</v>
      </c>
      <c r="G9" s="26">
        <v>58.8</v>
      </c>
      <c r="H9" s="26">
        <v>78.040000000000006</v>
      </c>
      <c r="I9" s="26">
        <v>63.51</v>
      </c>
      <c r="J9" s="26">
        <v>83.24</v>
      </c>
      <c r="K9" s="26">
        <v>74.8</v>
      </c>
      <c r="L9" s="26">
        <v>54.25</v>
      </c>
      <c r="M9" s="26">
        <v>63.06</v>
      </c>
      <c r="N9" s="26">
        <v>56.97</v>
      </c>
      <c r="O9" s="26">
        <v>56.84</v>
      </c>
      <c r="P9" s="2">
        <v>120</v>
      </c>
    </row>
    <row r="10" spans="1:16" x14ac:dyDescent="0.3">
      <c r="A10" s="2">
        <v>8</v>
      </c>
      <c r="B10" s="2" t="str">
        <f>WLs!C11</f>
        <v>Tochten lage afdeling NOP</v>
      </c>
      <c r="C10" s="26">
        <v>52.466666666666669</v>
      </c>
      <c r="D10" s="26">
        <v>55.334545454545449</v>
      </c>
      <c r="E10" s="26">
        <v>55.166666666666664</v>
      </c>
      <c r="F10" s="26">
        <v>51.157499999999999</v>
      </c>
      <c r="G10" s="26">
        <v>57.199999999999996</v>
      </c>
      <c r="H10" s="26">
        <v>58.244545454545452</v>
      </c>
      <c r="I10" s="26">
        <v>61.411666666666669</v>
      </c>
      <c r="J10" s="26">
        <v>60.739090909090912</v>
      </c>
      <c r="K10" s="26">
        <v>61.802500000000009</v>
      </c>
      <c r="L10" s="26">
        <v>60.499583333333334</v>
      </c>
      <c r="M10" s="26">
        <v>62.966666666666669</v>
      </c>
      <c r="N10" s="26">
        <v>69.842857142857142</v>
      </c>
      <c r="O10" s="26">
        <v>55.085416666666674</v>
      </c>
      <c r="P10" s="2">
        <v>120</v>
      </c>
    </row>
    <row r="11" spans="1:16" x14ac:dyDescent="0.3">
      <c r="A11" s="2">
        <v>9</v>
      </c>
      <c r="B11" s="2" t="str">
        <f>WLs!C12</f>
        <v>Tochten hoge afdeling NOP</v>
      </c>
      <c r="C11" s="26">
        <v>69.5</v>
      </c>
      <c r="D11" s="26">
        <v>72.400000000000006</v>
      </c>
      <c r="E11" s="26">
        <v>63.5</v>
      </c>
      <c r="F11" s="26">
        <v>70.650000000000006</v>
      </c>
      <c r="G11" s="26">
        <v>59.879999999999995</v>
      </c>
      <c r="H11" s="26">
        <v>71.650000000000006</v>
      </c>
      <c r="I11" s="26">
        <v>67.25</v>
      </c>
      <c r="J11" s="26">
        <v>70.833333333333329</v>
      </c>
      <c r="K11" s="26">
        <v>79.715000000000003</v>
      </c>
      <c r="L11" s="26">
        <v>55.55</v>
      </c>
      <c r="M11" s="26">
        <v>66.566666666666663</v>
      </c>
      <c r="N11" s="26">
        <v>76.260000000000005</v>
      </c>
      <c r="O11" s="26">
        <v>74.25</v>
      </c>
      <c r="P11" s="2">
        <v>120</v>
      </c>
    </row>
    <row r="12" spans="1:16" x14ac:dyDescent="0.3">
      <c r="A12" s="2">
        <v>10</v>
      </c>
      <c r="B12" s="2" t="str">
        <f>WLs!C13</f>
        <v>Vaarten NOP</v>
      </c>
      <c r="C12" s="26">
        <v>66.84</v>
      </c>
      <c r="D12" s="26">
        <v>70.94</v>
      </c>
      <c r="E12" s="26">
        <v>65.55</v>
      </c>
      <c r="F12" s="26">
        <v>65.78</v>
      </c>
      <c r="G12" s="26">
        <v>63.39</v>
      </c>
      <c r="H12" s="26">
        <v>72.077500000000001</v>
      </c>
      <c r="I12" s="26">
        <v>74.436000000000007</v>
      </c>
      <c r="J12" s="26">
        <v>67.75</v>
      </c>
      <c r="K12" s="26">
        <v>70.732500000000002</v>
      </c>
      <c r="L12" s="26">
        <v>64.28</v>
      </c>
      <c r="M12" s="26">
        <v>71.674999999999997</v>
      </c>
      <c r="N12" s="26">
        <v>68</v>
      </c>
      <c r="O12" s="26">
        <v>64.366</v>
      </c>
      <c r="P12" s="2">
        <v>120</v>
      </c>
    </row>
    <row r="13" spans="1:16" x14ac:dyDescent="0.3">
      <c r="A13" s="2">
        <v>11</v>
      </c>
      <c r="B13" s="2" t="str">
        <f>WLs!C14</f>
        <v>Vaarten hoge afdeling ZOF</v>
      </c>
      <c r="C13" s="26">
        <v>84.657999999999987</v>
      </c>
      <c r="D13" s="26">
        <v>84.882499999999993</v>
      </c>
      <c r="E13" s="26">
        <v>79.84</v>
      </c>
      <c r="F13" s="26">
        <v>79.88000000000001</v>
      </c>
      <c r="G13" s="26">
        <v>79.612500000000011</v>
      </c>
      <c r="H13" s="26">
        <v>84.724285714285699</v>
      </c>
      <c r="I13" s="26">
        <v>79.921428571428578</v>
      </c>
      <c r="J13" s="26">
        <v>85.266249999999999</v>
      </c>
      <c r="K13" s="26">
        <v>85.75800000000001</v>
      </c>
      <c r="L13" s="26">
        <v>80.792000000000002</v>
      </c>
      <c r="M13" s="26">
        <v>87.190000000000012</v>
      </c>
      <c r="N13" s="26">
        <v>84.802000000000007</v>
      </c>
      <c r="O13" s="26">
        <v>99.251999999999995</v>
      </c>
      <c r="P13" s="2">
        <v>120</v>
      </c>
    </row>
    <row r="14" spans="1:16" x14ac:dyDescent="0.3">
      <c r="A14" s="2">
        <v>12</v>
      </c>
      <c r="B14" s="2" t="str">
        <f>WLs!C15</f>
        <v>Vaarten lage afdeling ZOF</v>
      </c>
      <c r="C14" s="26">
        <v>100.67999999999999</v>
      </c>
      <c r="D14" s="26">
        <v>99.179999999999993</v>
      </c>
      <c r="E14" s="26">
        <v>93.25</v>
      </c>
      <c r="F14" s="26">
        <v>86.310000000000016</v>
      </c>
      <c r="G14" s="26">
        <v>81.462857142857146</v>
      </c>
      <c r="H14" s="26">
        <v>85.984000000000009</v>
      </c>
      <c r="I14" s="26">
        <v>87.33</v>
      </c>
      <c r="J14" s="26">
        <v>98.718571428571437</v>
      </c>
      <c r="K14" s="26">
        <v>84.597000000000008</v>
      </c>
      <c r="L14" s="26">
        <v>83.28857142857143</v>
      </c>
      <c r="M14" s="26">
        <v>87.327142857142846</v>
      </c>
      <c r="N14" s="26">
        <v>86.652999999999992</v>
      </c>
      <c r="O14" s="26">
        <v>88.052857142857121</v>
      </c>
      <c r="P14" s="2">
        <v>120</v>
      </c>
    </row>
    <row r="15" spans="1:16" x14ac:dyDescent="0.3">
      <c r="A15" s="2">
        <v>13</v>
      </c>
      <c r="B15" s="2" t="str">
        <f>WLs!C16</f>
        <v>Bovenwater</v>
      </c>
      <c r="C15" s="26">
        <v>92.11</v>
      </c>
      <c r="D15" s="26">
        <v>97.7</v>
      </c>
      <c r="E15" s="26">
        <v>92.7</v>
      </c>
      <c r="F15" s="26">
        <v>103</v>
      </c>
      <c r="G15" s="26">
        <v>93.43</v>
      </c>
      <c r="H15" s="26">
        <v>97.88</v>
      </c>
      <c r="I15" s="26">
        <v>88.49</v>
      </c>
      <c r="J15" s="26">
        <v>96</v>
      </c>
      <c r="K15" s="26">
        <v>98.29</v>
      </c>
      <c r="L15" s="26">
        <v>84.09</v>
      </c>
      <c r="M15" s="26">
        <v>121</v>
      </c>
      <c r="N15" s="26">
        <v>99.22</v>
      </c>
      <c r="O15" s="26">
        <v>94.85</v>
      </c>
      <c r="P15" s="2">
        <v>120</v>
      </c>
    </row>
    <row r="16" spans="1:16" x14ac:dyDescent="0.3">
      <c r="A16" s="2">
        <v>14</v>
      </c>
      <c r="B16" s="2" t="str">
        <f>WLs!C17</f>
        <v>Harderbroek (oude deel)</v>
      </c>
      <c r="C16" s="26">
        <v>94.1</v>
      </c>
      <c r="D16" s="26">
        <v>95.48</v>
      </c>
      <c r="E16" s="26">
        <v>80</v>
      </c>
      <c r="F16" s="26">
        <v>106</v>
      </c>
      <c r="G16" s="26">
        <v>80.7</v>
      </c>
      <c r="H16" s="26">
        <v>91.53</v>
      </c>
      <c r="I16" s="26">
        <v>113.2</v>
      </c>
      <c r="J16" s="26">
        <v>103</v>
      </c>
      <c r="K16" s="26">
        <v>80.12</v>
      </c>
      <c r="L16" s="26">
        <v>109.1</v>
      </c>
      <c r="M16" s="26">
        <v>93</v>
      </c>
      <c r="N16" s="26">
        <v>53.5</v>
      </c>
      <c r="O16" s="26"/>
      <c r="P16" s="2">
        <v>120</v>
      </c>
    </row>
    <row r="17" spans="1:16" x14ac:dyDescent="0.3">
      <c r="A17" s="2">
        <v>15</v>
      </c>
      <c r="B17" s="2" t="str">
        <f>WLs!C18</f>
        <v>Harderbroek Roerdomp</v>
      </c>
      <c r="C17" s="26">
        <v>99.7</v>
      </c>
      <c r="D17" s="26"/>
      <c r="E17" s="26"/>
      <c r="F17" s="26">
        <v>97.2</v>
      </c>
      <c r="G17" s="26"/>
      <c r="H17" s="26"/>
      <c r="I17" s="26">
        <v>82.9</v>
      </c>
      <c r="J17" s="26"/>
      <c r="K17" s="26">
        <v>70.03</v>
      </c>
      <c r="L17" s="26">
        <v>76.95</v>
      </c>
      <c r="M17" s="26">
        <v>71.58</v>
      </c>
      <c r="N17" s="26">
        <v>109.9</v>
      </c>
      <c r="O17" s="26">
        <v>87.6</v>
      </c>
      <c r="P17" s="2">
        <v>120</v>
      </c>
    </row>
    <row r="18" spans="1:16" x14ac:dyDescent="0.3">
      <c r="A18" s="2">
        <v>16</v>
      </c>
      <c r="B18" s="2" t="str">
        <f>WLs!C19</f>
        <v>Lepelaarplassen</v>
      </c>
      <c r="C18" s="26"/>
      <c r="D18" s="26"/>
      <c r="E18" s="26">
        <v>95.4</v>
      </c>
      <c r="F18" s="26"/>
      <c r="G18" s="26"/>
      <c r="H18" s="26">
        <v>91.2</v>
      </c>
      <c r="I18" s="26"/>
      <c r="J18" s="26">
        <v>90.106666666666669</v>
      </c>
      <c r="K18" s="26">
        <v>92.05</v>
      </c>
      <c r="L18" s="26">
        <v>89.25</v>
      </c>
      <c r="M18" s="26">
        <v>106</v>
      </c>
      <c r="N18" s="26">
        <v>104.37333333333333</v>
      </c>
      <c r="O18" s="26">
        <v>95.55</v>
      </c>
      <c r="P18" s="2">
        <v>120</v>
      </c>
    </row>
    <row r="19" spans="1:16" x14ac:dyDescent="0.3">
      <c r="A19" s="2">
        <v>17</v>
      </c>
      <c r="B19" s="2" t="str">
        <f>WLs!C20</f>
        <v>Noorderplassen</v>
      </c>
      <c r="C19" s="26">
        <v>102.1</v>
      </c>
      <c r="D19" s="26">
        <v>103</v>
      </c>
      <c r="E19" s="26">
        <v>106.8</v>
      </c>
      <c r="F19" s="26">
        <v>96</v>
      </c>
      <c r="G19" s="26">
        <v>96.4</v>
      </c>
      <c r="H19" s="26">
        <v>114</v>
      </c>
      <c r="I19" s="26">
        <v>93.29</v>
      </c>
      <c r="J19" s="26">
        <v>96.94</v>
      </c>
      <c r="K19" s="26">
        <v>111.5</v>
      </c>
      <c r="L19" s="26">
        <v>109</v>
      </c>
      <c r="M19" s="26">
        <v>102.5</v>
      </c>
      <c r="N19" s="26">
        <v>94</v>
      </c>
      <c r="O19" s="26">
        <v>100.4</v>
      </c>
      <c r="P19" s="2">
        <v>120</v>
      </c>
    </row>
    <row r="20" spans="1:16" x14ac:dyDescent="0.3">
      <c r="A20" s="2">
        <v>18</v>
      </c>
      <c r="B20" s="2" t="str">
        <f>WLs!C21</f>
        <v>Oostvaardersplassen</v>
      </c>
      <c r="C20" s="26">
        <v>91.6</v>
      </c>
      <c r="D20" s="26">
        <v>89.9</v>
      </c>
      <c r="E20" s="26">
        <v>64</v>
      </c>
      <c r="F20" s="26">
        <v>109</v>
      </c>
      <c r="G20" s="26">
        <v>87.27</v>
      </c>
      <c r="H20" s="26">
        <v>82.8</v>
      </c>
      <c r="I20" s="26">
        <v>116.9</v>
      </c>
      <c r="J20" s="26">
        <v>94.6</v>
      </c>
      <c r="K20" s="26">
        <v>100</v>
      </c>
      <c r="L20" s="26">
        <v>76.7</v>
      </c>
      <c r="M20" s="26">
        <v>93.5</v>
      </c>
      <c r="N20" s="26">
        <v>102.7</v>
      </c>
      <c r="O20" s="26">
        <v>100.39</v>
      </c>
      <c r="P20" s="2">
        <v>120</v>
      </c>
    </row>
    <row r="21" spans="1:16" x14ac:dyDescent="0.3">
      <c r="A21" s="2">
        <v>19</v>
      </c>
      <c r="B21" s="2" t="str">
        <f>WLs!C22</f>
        <v>Vollenhover- en Kadoelermeer</v>
      </c>
      <c r="C21" s="26">
        <v>90.9</v>
      </c>
      <c r="D21" s="26">
        <v>106.71000000000001</v>
      </c>
      <c r="E21" s="26">
        <v>92.8</v>
      </c>
      <c r="F21" s="26">
        <v>94.740000000000009</v>
      </c>
      <c r="G21" s="26">
        <v>101.55</v>
      </c>
      <c r="H21" s="26">
        <v>96.740000000000009</v>
      </c>
      <c r="I21" s="26">
        <v>93.465000000000003</v>
      </c>
      <c r="J21" s="26">
        <v>111.8</v>
      </c>
      <c r="K21" s="26">
        <v>99.74</v>
      </c>
      <c r="L21" s="26">
        <v>95.34</v>
      </c>
      <c r="M21" s="26">
        <v>96.84</v>
      </c>
      <c r="N21" s="26">
        <v>89.9</v>
      </c>
      <c r="O21" s="26">
        <v>101</v>
      </c>
      <c r="P21" s="2">
        <v>120</v>
      </c>
    </row>
    <row r="22" spans="1:16" x14ac:dyDescent="0.3">
      <c r="A22" s="2">
        <v>20</v>
      </c>
      <c r="B22" s="2" t="str">
        <f>WLs!C23</f>
        <v>Weerwater</v>
      </c>
      <c r="C22" s="26">
        <v>110</v>
      </c>
      <c r="D22" s="26">
        <v>111</v>
      </c>
      <c r="E22" s="26">
        <v>106.9</v>
      </c>
      <c r="F22" s="26">
        <v>97.4</v>
      </c>
      <c r="G22" s="26">
        <v>102</v>
      </c>
      <c r="H22" s="26">
        <v>105</v>
      </c>
      <c r="I22" s="26">
        <v>97.58</v>
      </c>
      <c r="J22" s="26">
        <v>106.9</v>
      </c>
      <c r="K22" s="26">
        <v>107.8</v>
      </c>
      <c r="L22" s="26">
        <v>93.9</v>
      </c>
      <c r="M22" s="26">
        <v>120.2</v>
      </c>
      <c r="N22" s="26">
        <v>99.94</v>
      </c>
      <c r="O22" s="26">
        <v>111.7</v>
      </c>
      <c r="P22" s="2">
        <v>120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2F4A-FF8D-40AF-B291-32C3376A811E}">
  <dimension ref="A1:P22"/>
  <sheetViews>
    <sheetView workbookViewId="0"/>
  </sheetViews>
  <sheetFormatPr defaultRowHeight="14.4" x14ac:dyDescent="0.3"/>
  <cols>
    <col min="1" max="1" width="5.5546875" customWidth="1"/>
    <col min="2" max="2" width="29" customWidth="1"/>
    <col min="3" max="15" width="8.44140625" customWidth="1"/>
    <col min="16" max="16" width="16.21875" bestFit="1" customWidth="1"/>
  </cols>
  <sheetData>
    <row r="1" spans="1:16" ht="18" x14ac:dyDescent="0.35">
      <c r="A1" s="5" t="s">
        <v>86</v>
      </c>
      <c r="C1">
        <v>3</v>
      </c>
      <c r="D1">
        <f>C1+1</f>
        <v>4</v>
      </c>
      <c r="E1">
        <f t="shared" ref="E1:O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c r="P1">
        <v>20</v>
      </c>
    </row>
    <row r="2" spans="1:16" x14ac:dyDescent="0.3">
      <c r="A2" s="3" t="s">
        <v>149</v>
      </c>
      <c r="B2" s="1" t="s">
        <v>150</v>
      </c>
      <c r="C2" s="1">
        <v>2012</v>
      </c>
      <c r="D2" s="1">
        <v>2013</v>
      </c>
      <c r="E2" s="1">
        <v>2014</v>
      </c>
      <c r="F2" s="4">
        <v>2015</v>
      </c>
      <c r="G2" s="4">
        <v>2016</v>
      </c>
      <c r="H2" s="4">
        <v>2017</v>
      </c>
      <c r="I2" s="4">
        <v>2018</v>
      </c>
      <c r="J2" s="4">
        <v>2019</v>
      </c>
      <c r="K2" s="4">
        <v>2020</v>
      </c>
      <c r="L2" s="4">
        <v>2021</v>
      </c>
      <c r="M2" s="4">
        <v>2022</v>
      </c>
      <c r="N2" s="4">
        <v>2023</v>
      </c>
      <c r="O2" s="4">
        <v>2024</v>
      </c>
      <c r="P2" s="4" t="s">
        <v>485</v>
      </c>
    </row>
    <row r="3" spans="1:16" x14ac:dyDescent="0.3">
      <c r="A3" s="2">
        <v>1</v>
      </c>
      <c r="B3" s="2" t="str">
        <f>WLs!C4</f>
        <v>Tochten ABC1</v>
      </c>
      <c r="C3" s="20"/>
      <c r="D3" s="20">
        <v>7.742</v>
      </c>
      <c r="E3" s="20"/>
      <c r="F3" s="20"/>
      <c r="G3" s="20">
        <v>7.6400000000000006</v>
      </c>
      <c r="H3" s="20"/>
      <c r="I3" s="20">
        <v>7.62</v>
      </c>
      <c r="J3" s="20">
        <v>7.7060000000000004</v>
      </c>
      <c r="K3" s="20">
        <v>7.75</v>
      </c>
      <c r="L3" s="20"/>
      <c r="M3" s="20">
        <v>7.5739999999999998</v>
      </c>
      <c r="N3" s="20"/>
      <c r="O3" s="20">
        <v>7.4700000000000006</v>
      </c>
      <c r="P3" s="2">
        <v>8.5</v>
      </c>
    </row>
    <row r="4" spans="1:16" x14ac:dyDescent="0.3">
      <c r="A4" s="2">
        <v>2</v>
      </c>
      <c r="B4" s="2" t="str">
        <f>WLs!C5</f>
        <v>Tochten ABC2</v>
      </c>
      <c r="C4" s="20">
        <v>7.581142857142857</v>
      </c>
      <c r="D4" s="20">
        <v>7.7190909090909088</v>
      </c>
      <c r="E4" s="20">
        <v>7.5650000000000004</v>
      </c>
      <c r="F4" s="20">
        <v>7.63</v>
      </c>
      <c r="G4" s="20">
        <v>7.5827272727272721</v>
      </c>
      <c r="H4" s="20">
        <v>7.6166666666666663</v>
      </c>
      <c r="I4" s="20">
        <v>7.626666666666666</v>
      </c>
      <c r="J4" s="20">
        <v>7.6609090909090902</v>
      </c>
      <c r="K4" s="20">
        <v>7.5566666666666675</v>
      </c>
      <c r="L4" s="20">
        <v>7.6333333333333337</v>
      </c>
      <c r="M4" s="20">
        <v>7.5754545454545443</v>
      </c>
      <c r="N4" s="20">
        <v>7.6350000000000007</v>
      </c>
      <c r="O4" s="20">
        <v>7.4683333333333328</v>
      </c>
      <c r="P4" s="2">
        <v>8.5</v>
      </c>
    </row>
    <row r="5" spans="1:16" x14ac:dyDescent="0.3">
      <c r="A5" s="2">
        <v>3</v>
      </c>
      <c r="B5" s="2" t="str">
        <f>WLs!C6</f>
        <v>Tochten DE Almere</v>
      </c>
      <c r="C5" s="2"/>
      <c r="D5" s="2"/>
      <c r="E5" s="20">
        <v>7.8250000000000002</v>
      </c>
      <c r="F5" s="20"/>
      <c r="G5" s="20"/>
      <c r="H5" s="20">
        <v>7.83</v>
      </c>
      <c r="I5" s="20"/>
      <c r="J5" s="20"/>
      <c r="K5" s="20">
        <v>7.79</v>
      </c>
      <c r="L5" s="20"/>
      <c r="M5" s="20"/>
      <c r="N5" s="20">
        <v>7.8900000000000006</v>
      </c>
      <c r="O5" s="20"/>
      <c r="P5" s="2">
        <v>9</v>
      </c>
    </row>
    <row r="6" spans="1:16" x14ac:dyDescent="0.3">
      <c r="A6" s="2">
        <v>4</v>
      </c>
      <c r="B6" s="2" t="str">
        <f>WLs!C7</f>
        <v>Tochten DE Zuidlob</v>
      </c>
      <c r="C6" s="2"/>
      <c r="D6" s="2"/>
      <c r="E6" s="20">
        <v>7.6819999999999995</v>
      </c>
      <c r="F6" s="20">
        <v>7.5150000000000006</v>
      </c>
      <c r="G6" s="20">
        <v>7.7149999999999999</v>
      </c>
      <c r="H6" s="20">
        <v>7.7259999999999991</v>
      </c>
      <c r="I6" s="20">
        <v>7.73</v>
      </c>
      <c r="J6" s="20">
        <v>7.85</v>
      </c>
      <c r="K6" s="20">
        <v>7.8659999999999997</v>
      </c>
      <c r="L6" s="20">
        <v>7.6099999999999994</v>
      </c>
      <c r="M6" s="20">
        <v>7.625</v>
      </c>
      <c r="N6" s="20">
        <v>7.7320000000000011</v>
      </c>
      <c r="O6" s="20">
        <v>7.37</v>
      </c>
      <c r="P6" s="2">
        <v>9</v>
      </c>
    </row>
    <row r="7" spans="1:16" x14ac:dyDescent="0.3">
      <c r="A7" s="2">
        <v>5</v>
      </c>
      <c r="B7" s="2" t="str">
        <f>WLs!C8</f>
        <v>Tochten FGIK</v>
      </c>
      <c r="C7" s="20">
        <v>7.7409999999999997</v>
      </c>
      <c r="D7" s="20">
        <v>7.93</v>
      </c>
      <c r="E7" s="20">
        <v>7.6415384615384614</v>
      </c>
      <c r="F7" s="20">
        <v>7.6139999999999999</v>
      </c>
      <c r="G7" s="20">
        <v>7.6016666666666666</v>
      </c>
      <c r="H7" s="20">
        <v>7.6884615384615387</v>
      </c>
      <c r="I7" s="20">
        <v>7.6916666666666655</v>
      </c>
      <c r="J7" s="20">
        <v>7.7480000000000002</v>
      </c>
      <c r="K7" s="20">
        <v>7.746666666666667</v>
      </c>
      <c r="L7" s="20">
        <v>7.7233333333333318</v>
      </c>
      <c r="M7" s="20">
        <v>7.63</v>
      </c>
      <c r="N7" s="20">
        <v>7.7438461538461532</v>
      </c>
      <c r="O7" s="20">
        <v>7.4659999999999993</v>
      </c>
      <c r="P7" s="2">
        <v>9</v>
      </c>
    </row>
    <row r="8" spans="1:16" x14ac:dyDescent="0.3">
      <c r="A8" s="2">
        <v>6</v>
      </c>
      <c r="B8" s="2" t="str">
        <f>WLs!C9</f>
        <v>Tochten H</v>
      </c>
      <c r="C8" s="20">
        <v>7.6196000000000002</v>
      </c>
      <c r="D8" s="20">
        <v>7.7620000000000005</v>
      </c>
      <c r="E8" s="20">
        <v>7.5879999999999992</v>
      </c>
      <c r="F8" s="20">
        <v>7.6580000000000013</v>
      </c>
      <c r="G8" s="20">
        <v>7.625</v>
      </c>
      <c r="H8" s="20">
        <v>7.6280000000000001</v>
      </c>
      <c r="I8" s="20">
        <v>7.6579999999999995</v>
      </c>
      <c r="J8" s="20">
        <v>7.7269999999999994</v>
      </c>
      <c r="K8" s="20">
        <v>7.6120000000000001</v>
      </c>
      <c r="L8" s="20">
        <v>7.6219999999999999</v>
      </c>
      <c r="M8" s="20">
        <v>7.609</v>
      </c>
      <c r="N8" s="20">
        <v>7.7240000000000011</v>
      </c>
      <c r="O8" s="20">
        <v>7.556</v>
      </c>
      <c r="P8" s="2">
        <v>9</v>
      </c>
    </row>
    <row r="9" spans="1:16" x14ac:dyDescent="0.3">
      <c r="A9" s="2">
        <v>7</v>
      </c>
      <c r="B9" s="2" t="str">
        <f>WLs!C10</f>
        <v>Tochten J</v>
      </c>
      <c r="C9" s="20">
        <v>7.6420000000000003</v>
      </c>
      <c r="D9" s="20">
        <v>7.79</v>
      </c>
      <c r="E9" s="20">
        <v>7.61</v>
      </c>
      <c r="F9" s="20">
        <v>7.65</v>
      </c>
      <c r="G9" s="20">
        <v>7.65</v>
      </c>
      <c r="H9" s="20">
        <v>7.64</v>
      </c>
      <c r="I9" s="20">
        <v>7.68</v>
      </c>
      <c r="J9" s="20">
        <v>7.74</v>
      </c>
      <c r="K9" s="20">
        <v>7.63</v>
      </c>
      <c r="L9" s="20">
        <v>7.65</v>
      </c>
      <c r="M9" s="20">
        <v>7.63</v>
      </c>
      <c r="N9" s="20">
        <v>7.74</v>
      </c>
      <c r="O9" s="20">
        <v>7.63</v>
      </c>
      <c r="P9" s="2">
        <v>9</v>
      </c>
    </row>
    <row r="10" spans="1:16" x14ac:dyDescent="0.3">
      <c r="A10" s="2">
        <v>8</v>
      </c>
      <c r="B10" s="2" t="str">
        <f>WLs!C11</f>
        <v>Tochten lage afdeling NOP</v>
      </c>
      <c r="C10" s="20">
        <v>7.4080000000000004</v>
      </c>
      <c r="D10" s="20">
        <v>7.57</v>
      </c>
      <c r="E10" s="20">
        <v>7.52</v>
      </c>
      <c r="F10" s="20">
        <v>7.52</v>
      </c>
      <c r="G10" s="20">
        <v>7.51</v>
      </c>
      <c r="H10" s="20">
        <v>7.5</v>
      </c>
      <c r="I10" s="20">
        <v>7.5</v>
      </c>
      <c r="J10" s="20">
        <v>7.53</v>
      </c>
      <c r="K10" s="20">
        <v>7.6</v>
      </c>
      <c r="L10" s="20">
        <v>7.45</v>
      </c>
      <c r="M10" s="20">
        <v>7.56</v>
      </c>
      <c r="N10" s="20">
        <v>7.55</v>
      </c>
      <c r="O10" s="20">
        <v>7.38</v>
      </c>
      <c r="P10" s="2">
        <v>9</v>
      </c>
    </row>
    <row r="11" spans="1:16" x14ac:dyDescent="0.3">
      <c r="A11" s="2">
        <v>9</v>
      </c>
      <c r="B11" s="2" t="str">
        <f>WLs!C12</f>
        <v>Tochten hoge afdeling NOP</v>
      </c>
      <c r="C11" s="20">
        <v>7.4499999999999993</v>
      </c>
      <c r="D11" s="20">
        <v>7.5939999999999994</v>
      </c>
      <c r="E11" s="20">
        <v>7.4749999999999996</v>
      </c>
      <c r="F11" s="20">
        <v>7.5</v>
      </c>
      <c r="G11" s="20">
        <v>7.4599999999999991</v>
      </c>
      <c r="H11" s="20">
        <v>7.58</v>
      </c>
      <c r="I11" s="20">
        <v>7.58</v>
      </c>
      <c r="J11" s="20">
        <v>7.5650000000000004</v>
      </c>
      <c r="K11" s="20">
        <v>7.53</v>
      </c>
      <c r="L11" s="20">
        <v>7.5175000000000001</v>
      </c>
      <c r="M11" s="20">
        <v>7.4766666666666675</v>
      </c>
      <c r="N11" s="20">
        <v>7.66</v>
      </c>
      <c r="O11" s="20">
        <v>7.3949999999999996</v>
      </c>
      <c r="P11" s="2">
        <v>9</v>
      </c>
    </row>
    <row r="12" spans="1:16" x14ac:dyDescent="0.3">
      <c r="A12" s="2">
        <v>10</v>
      </c>
      <c r="B12" s="2" t="str">
        <f>WLs!C13</f>
        <v>Vaarten NOP</v>
      </c>
      <c r="C12" s="20">
        <v>7.5020000000000007</v>
      </c>
      <c r="D12" s="20">
        <v>7.6099999999999994</v>
      </c>
      <c r="E12" s="20">
        <v>7.5274999999999999</v>
      </c>
      <c r="F12" s="20">
        <v>7.5180000000000007</v>
      </c>
      <c r="G12" s="20">
        <v>7.5449999999999999</v>
      </c>
      <c r="H12" s="20">
        <v>7.5325000000000006</v>
      </c>
      <c r="I12" s="20">
        <v>7.589999999999999</v>
      </c>
      <c r="J12" s="20">
        <v>7.6224999999999996</v>
      </c>
      <c r="K12" s="20">
        <v>7.5574999999999992</v>
      </c>
      <c r="L12" s="20">
        <v>7.6099999999999994</v>
      </c>
      <c r="M12" s="20">
        <v>7.5875000000000004</v>
      </c>
      <c r="N12" s="20">
        <v>7.5824999999999996</v>
      </c>
      <c r="O12" s="20">
        <v>7.4079999999999995</v>
      </c>
      <c r="P12" s="2">
        <v>8.5</v>
      </c>
    </row>
    <row r="13" spans="1:16" x14ac:dyDescent="0.3">
      <c r="A13" s="2">
        <v>11</v>
      </c>
      <c r="B13" s="2" t="str">
        <f>WLs!C14</f>
        <v>Vaarten hoge afdeling ZOF</v>
      </c>
      <c r="C13" s="20">
        <v>7.8490000000000011</v>
      </c>
      <c r="D13" s="20">
        <v>7.8825000000000003</v>
      </c>
      <c r="E13" s="20">
        <v>7.7640000000000002</v>
      </c>
      <c r="F13" s="20">
        <v>7.8171428571428567</v>
      </c>
      <c r="G13" s="20">
        <v>7.8137499999999989</v>
      </c>
      <c r="H13" s="20">
        <v>7.7971428571428572</v>
      </c>
      <c r="I13" s="20">
        <v>7.8471428571428561</v>
      </c>
      <c r="J13" s="20">
        <v>7.9087500000000004</v>
      </c>
      <c r="K13" s="20">
        <v>7.8579999999999997</v>
      </c>
      <c r="L13" s="20">
        <v>7.918000000000001</v>
      </c>
      <c r="M13" s="20">
        <v>7.8037500000000009</v>
      </c>
      <c r="N13" s="20">
        <v>7.8679999999999994</v>
      </c>
      <c r="O13" s="20">
        <v>7.7220000000000013</v>
      </c>
      <c r="P13" s="2">
        <v>8.5</v>
      </c>
    </row>
    <row r="14" spans="1:16" x14ac:dyDescent="0.3">
      <c r="A14" s="2">
        <v>12</v>
      </c>
      <c r="B14" s="2" t="str">
        <f>WLs!C15</f>
        <v>Vaarten lage afdeling ZOF</v>
      </c>
      <c r="C14" s="20">
        <v>7.8167142857142853</v>
      </c>
      <c r="D14" s="20">
        <v>7.9099999999999993</v>
      </c>
      <c r="E14" s="20">
        <v>7.7370000000000001</v>
      </c>
      <c r="F14" s="20">
        <v>7.7757142857142858</v>
      </c>
      <c r="G14" s="20">
        <v>7.6985714285714284</v>
      </c>
      <c r="H14" s="20">
        <v>7.7129999999999992</v>
      </c>
      <c r="I14" s="20">
        <v>7.7385714285714275</v>
      </c>
      <c r="J14" s="20">
        <v>7.8428571428571425</v>
      </c>
      <c r="K14" s="20">
        <v>7.7200000000000006</v>
      </c>
      <c r="L14" s="20">
        <v>7.7771428571428567</v>
      </c>
      <c r="M14" s="20">
        <v>7.6885714285714286</v>
      </c>
      <c r="N14" s="20">
        <v>7.761000000000001</v>
      </c>
      <c r="O14" s="20">
        <v>7.6271428571428563</v>
      </c>
      <c r="P14" s="2">
        <v>8.5</v>
      </c>
    </row>
    <row r="15" spans="1:16" x14ac:dyDescent="0.3">
      <c r="A15" s="2">
        <v>13</v>
      </c>
      <c r="B15" s="2" t="str">
        <f>WLs!C16</f>
        <v>Bovenwater</v>
      </c>
      <c r="C15" s="20">
        <v>8.85</v>
      </c>
      <c r="D15" s="20">
        <v>8.6</v>
      </c>
      <c r="E15" s="20">
        <v>8.6199999999999992</v>
      </c>
      <c r="F15" s="20">
        <v>8.8350000000000009</v>
      </c>
      <c r="G15" s="20">
        <v>8.59</v>
      </c>
      <c r="H15" s="20">
        <v>8.8420000000000005</v>
      </c>
      <c r="I15" s="20">
        <v>8.4</v>
      </c>
      <c r="J15" s="20">
        <v>8.89</v>
      </c>
      <c r="K15" s="20">
        <v>8.57</v>
      </c>
      <c r="L15" s="20">
        <v>8.6</v>
      </c>
      <c r="M15" s="20">
        <v>8.7899999999999991</v>
      </c>
      <c r="N15" s="20">
        <v>8.64</v>
      </c>
      <c r="O15" s="20">
        <v>8.56</v>
      </c>
      <c r="P15" s="2">
        <v>8.5</v>
      </c>
    </row>
    <row r="16" spans="1:16" x14ac:dyDescent="0.3">
      <c r="A16" s="2">
        <v>14</v>
      </c>
      <c r="B16" s="2" t="str">
        <f>WLs!C17</f>
        <v>Harderbroek (oude deel)</v>
      </c>
      <c r="C16" s="20">
        <v>8.17</v>
      </c>
      <c r="D16" s="20">
        <v>8.18</v>
      </c>
      <c r="E16" s="20">
        <v>7.81</v>
      </c>
      <c r="F16" s="20">
        <v>8.42</v>
      </c>
      <c r="G16" s="20">
        <v>8.07</v>
      </c>
      <c r="H16" s="20">
        <v>8.17</v>
      </c>
      <c r="I16" s="20">
        <v>8.57</v>
      </c>
      <c r="J16" s="20">
        <v>8.33</v>
      </c>
      <c r="K16" s="20">
        <v>7.96</v>
      </c>
      <c r="L16" s="20">
        <v>8.33</v>
      </c>
      <c r="M16" s="20">
        <v>8.2200000000000006</v>
      </c>
      <c r="N16" s="20">
        <v>7.63</v>
      </c>
      <c r="O16" s="20"/>
      <c r="P16" s="2">
        <v>8.5</v>
      </c>
    </row>
    <row r="17" spans="1:16" x14ac:dyDescent="0.3">
      <c r="A17" s="2">
        <v>15</v>
      </c>
      <c r="B17" s="2" t="str">
        <f>WLs!C18</f>
        <v>Harderbroek Roerdomp</v>
      </c>
      <c r="C17" s="20">
        <v>8.2799999999999994</v>
      </c>
      <c r="D17" s="20"/>
      <c r="E17" s="20"/>
      <c r="F17" s="20">
        <v>8.42</v>
      </c>
      <c r="G17" s="20"/>
      <c r="H17" s="20"/>
      <c r="I17" s="20">
        <v>8.1519999999999992</v>
      </c>
      <c r="J17" s="20"/>
      <c r="K17" s="20">
        <v>7.9</v>
      </c>
      <c r="L17" s="20">
        <v>7.68</v>
      </c>
      <c r="M17" s="20">
        <v>7.85</v>
      </c>
      <c r="N17" s="20">
        <v>8.5359999999999996</v>
      </c>
      <c r="O17" s="20">
        <v>7.7530000000000001</v>
      </c>
      <c r="P17" s="2">
        <v>8.5</v>
      </c>
    </row>
    <row r="18" spans="1:16" x14ac:dyDescent="0.3">
      <c r="A18" s="2">
        <v>16</v>
      </c>
      <c r="B18" s="2" t="str">
        <f>WLs!C19</f>
        <v>Lepelaarplassen</v>
      </c>
      <c r="C18" s="20"/>
      <c r="D18" s="20"/>
      <c r="E18" s="20">
        <v>8.2100000000000009</v>
      </c>
      <c r="F18" s="20"/>
      <c r="G18" s="20"/>
      <c r="H18" s="20">
        <v>8.09</v>
      </c>
      <c r="I18" s="20"/>
      <c r="J18" s="20">
        <v>8.2166666666666668</v>
      </c>
      <c r="K18" s="20">
        <v>8.2899999999999991</v>
      </c>
      <c r="L18" s="20">
        <v>8.0399999999999991</v>
      </c>
      <c r="M18" s="20">
        <v>8.3000000000000007</v>
      </c>
      <c r="N18" s="20">
        <v>8.5033333333333321</v>
      </c>
      <c r="O18" s="20">
        <v>8.11</v>
      </c>
      <c r="P18" s="2">
        <v>8.5</v>
      </c>
    </row>
    <row r="19" spans="1:16" x14ac:dyDescent="0.3">
      <c r="A19" s="2">
        <v>17</v>
      </c>
      <c r="B19" s="2" t="str">
        <f>WLs!C20</f>
        <v>Noorderplassen</v>
      </c>
      <c r="C19" s="20">
        <v>8.27</v>
      </c>
      <c r="D19" s="20">
        <v>8.35</v>
      </c>
      <c r="E19" s="20">
        <v>8.34</v>
      </c>
      <c r="F19" s="20">
        <v>8.2899999999999991</v>
      </c>
      <c r="G19" s="20">
        <v>8.2899999999999991</v>
      </c>
      <c r="H19" s="20">
        <v>8.49</v>
      </c>
      <c r="I19" s="20">
        <v>8.1999999999999993</v>
      </c>
      <c r="J19" s="20">
        <v>8.2799999999999994</v>
      </c>
      <c r="K19" s="20">
        <v>8.3699999999999992</v>
      </c>
      <c r="L19" s="20">
        <v>8.3800000000000008</v>
      </c>
      <c r="M19" s="20">
        <v>8.25</v>
      </c>
      <c r="N19" s="20">
        <v>8.3800000000000008</v>
      </c>
      <c r="O19" s="20">
        <v>8.42</v>
      </c>
      <c r="P19" s="2">
        <v>8.5</v>
      </c>
    </row>
    <row r="20" spans="1:16" x14ac:dyDescent="0.3">
      <c r="A20" s="2">
        <v>18</v>
      </c>
      <c r="B20" s="2" t="str">
        <f>WLs!C21</f>
        <v>Oostvaardersplassen</v>
      </c>
      <c r="C20" s="20">
        <v>8.1999999999999993</v>
      </c>
      <c r="D20" s="20">
        <v>8.1999999999999993</v>
      </c>
      <c r="E20" s="20">
        <v>7.82</v>
      </c>
      <c r="F20" s="20">
        <v>8.43</v>
      </c>
      <c r="G20" s="20">
        <v>8.09</v>
      </c>
      <c r="H20" s="20">
        <v>8.23</v>
      </c>
      <c r="I20" s="20">
        <v>8.3000000000000007</v>
      </c>
      <c r="J20" s="20">
        <v>8.1999999999999993</v>
      </c>
      <c r="K20" s="20">
        <v>8.36</v>
      </c>
      <c r="L20" s="20">
        <v>8.125</v>
      </c>
      <c r="M20" s="20">
        <v>8.48</v>
      </c>
      <c r="N20" s="20">
        <v>8.23</v>
      </c>
      <c r="O20" s="20">
        <v>8.5399999999999991</v>
      </c>
      <c r="P20" s="2">
        <v>8.5</v>
      </c>
    </row>
    <row r="21" spans="1:16" x14ac:dyDescent="0.3">
      <c r="A21" s="2">
        <v>19</v>
      </c>
      <c r="B21" s="2" t="str">
        <f>WLs!C22</f>
        <v>Vollenhover- en Kadoelermeer</v>
      </c>
      <c r="C21" s="20">
        <v>8.02</v>
      </c>
      <c r="D21" s="20">
        <v>8.34</v>
      </c>
      <c r="E21" s="20">
        <v>8.06</v>
      </c>
      <c r="F21" s="20">
        <v>8.0850000000000009</v>
      </c>
      <c r="G21" s="20">
        <v>8.19</v>
      </c>
      <c r="H21" s="20">
        <v>8.1900000000000013</v>
      </c>
      <c r="I21" s="20">
        <v>8.1549999999999994</v>
      </c>
      <c r="J21" s="20">
        <v>8.52</v>
      </c>
      <c r="K21" s="20">
        <v>8.1</v>
      </c>
      <c r="L21" s="20">
        <v>8.2100000000000009</v>
      </c>
      <c r="M21" s="20">
        <v>8.2650000000000006</v>
      </c>
      <c r="N21" s="20">
        <v>8.07</v>
      </c>
      <c r="O21" s="20">
        <v>7.96</v>
      </c>
      <c r="P21" s="2">
        <v>8.5</v>
      </c>
    </row>
    <row r="22" spans="1:16" x14ac:dyDescent="0.3">
      <c r="A22" s="2">
        <v>20</v>
      </c>
      <c r="B22" s="2" t="str">
        <f>WLs!C23</f>
        <v>Weerwater</v>
      </c>
      <c r="C22" s="20">
        <v>8.4309999999999992</v>
      </c>
      <c r="D22" s="20">
        <v>8.51</v>
      </c>
      <c r="E22" s="20">
        <v>8.34</v>
      </c>
      <c r="F22" s="20">
        <v>8.33</v>
      </c>
      <c r="G22" s="20">
        <v>8.2899999999999991</v>
      </c>
      <c r="H22" s="20">
        <v>8.32</v>
      </c>
      <c r="I22" s="20">
        <v>8.2799999999999994</v>
      </c>
      <c r="J22" s="20">
        <v>8.3000000000000007</v>
      </c>
      <c r="K22" s="20">
        <v>8.31</v>
      </c>
      <c r="L22" s="20">
        <v>8.24</v>
      </c>
      <c r="M22" s="20">
        <v>8.48</v>
      </c>
      <c r="N22" s="20">
        <v>8.2100000000000009</v>
      </c>
      <c r="O22" s="20">
        <v>8.32</v>
      </c>
      <c r="P22" s="2">
        <v>8.5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C5B1-D643-4384-AEEC-B487FC5035B1}">
  <dimension ref="A2:H24"/>
  <sheetViews>
    <sheetView workbookViewId="0">
      <pane ySplit="4" topLeftCell="A5" activePane="bottomLeft" state="frozen"/>
      <selection pane="bottomLeft" activeCell="A5" sqref="A5"/>
    </sheetView>
  </sheetViews>
  <sheetFormatPr defaultRowHeight="14.4" x14ac:dyDescent="0.3"/>
  <cols>
    <col min="1" max="1" width="6.5546875" customWidth="1"/>
    <col min="2" max="2" width="25.5546875" bestFit="1" customWidth="1"/>
    <col min="3" max="3" width="8.44140625" customWidth="1"/>
    <col min="4" max="4" width="36.44140625" customWidth="1"/>
    <col min="5" max="5" width="8.44140625" customWidth="1"/>
    <col min="6" max="6" width="36.44140625" customWidth="1"/>
    <col min="7" max="7" width="8.44140625" customWidth="1"/>
    <col min="8" max="8" width="36.44140625" customWidth="1"/>
  </cols>
  <sheetData>
    <row r="2" spans="1:8" x14ac:dyDescent="0.3">
      <c r="A2" s="231" t="s">
        <v>149</v>
      </c>
      <c r="B2" s="231" t="s">
        <v>150</v>
      </c>
      <c r="C2" s="232" t="s">
        <v>486</v>
      </c>
      <c r="D2" s="232"/>
      <c r="E2" s="232"/>
      <c r="F2" s="232"/>
      <c r="G2" s="232"/>
      <c r="H2" s="232"/>
    </row>
    <row r="3" spans="1:8" x14ac:dyDescent="0.3">
      <c r="A3" s="231"/>
      <c r="B3" s="231"/>
      <c r="C3" s="231" t="s">
        <v>130</v>
      </c>
      <c r="D3" s="231"/>
      <c r="E3" s="231" t="s">
        <v>131</v>
      </c>
      <c r="F3" s="231"/>
      <c r="G3" s="232" t="s">
        <v>132</v>
      </c>
      <c r="H3" s="232"/>
    </row>
    <row r="4" spans="1:8" x14ac:dyDescent="0.3">
      <c r="A4" s="231"/>
      <c r="B4" s="231"/>
      <c r="C4" s="32" t="s">
        <v>487</v>
      </c>
      <c r="D4" s="32" t="s">
        <v>5</v>
      </c>
      <c r="E4" s="32" t="s">
        <v>487</v>
      </c>
      <c r="F4" s="32" t="s">
        <v>5</v>
      </c>
      <c r="G4" s="32" t="s">
        <v>487</v>
      </c>
      <c r="H4" s="32" t="s">
        <v>5</v>
      </c>
    </row>
    <row r="5" spans="1:8" ht="72" x14ac:dyDescent="0.3">
      <c r="A5" s="52">
        <v>1</v>
      </c>
      <c r="B5" s="52" t="str">
        <f>WLs!C4</f>
        <v>Tochten ABC1</v>
      </c>
      <c r="C5" s="23">
        <v>1</v>
      </c>
      <c r="D5" s="23" t="s">
        <v>488</v>
      </c>
      <c r="E5" s="23">
        <v>1</v>
      </c>
      <c r="F5" s="23" t="s">
        <v>489</v>
      </c>
      <c r="G5" s="23">
        <v>1</v>
      </c>
      <c r="H5" s="23" t="s">
        <v>490</v>
      </c>
    </row>
    <row r="6" spans="1:8" ht="43.2" x14ac:dyDescent="0.3">
      <c r="A6" s="52">
        <v>2</v>
      </c>
      <c r="B6" s="52" t="str">
        <f>WLs!C5</f>
        <v>Tochten ABC2</v>
      </c>
      <c r="C6" s="23">
        <v>1</v>
      </c>
      <c r="D6" s="23" t="s">
        <v>491</v>
      </c>
      <c r="E6" s="23">
        <v>1</v>
      </c>
      <c r="F6" s="23" t="s">
        <v>489</v>
      </c>
      <c r="G6" s="23">
        <v>1</v>
      </c>
      <c r="H6" s="23" t="s">
        <v>490</v>
      </c>
    </row>
    <row r="7" spans="1:8" ht="43.2" x14ac:dyDescent="0.3">
      <c r="A7" s="52">
        <v>3</v>
      </c>
      <c r="B7" s="52" t="str">
        <f>WLs!C6</f>
        <v>Tochten DE Almere</v>
      </c>
      <c r="C7" s="23"/>
      <c r="D7" s="23" t="s">
        <v>492</v>
      </c>
      <c r="E7" s="23">
        <v>1</v>
      </c>
      <c r="F7" s="23" t="s">
        <v>493</v>
      </c>
      <c r="G7" s="23">
        <v>1</v>
      </c>
      <c r="H7" s="23" t="s">
        <v>490</v>
      </c>
    </row>
    <row r="8" spans="1:8" ht="72" x14ac:dyDescent="0.3">
      <c r="A8" s="52">
        <v>4</v>
      </c>
      <c r="B8" s="52" t="str">
        <f>WLs!C7</f>
        <v>Tochten DE Zuidlob</v>
      </c>
      <c r="C8" s="23"/>
      <c r="D8" s="23" t="s">
        <v>492</v>
      </c>
      <c r="E8" s="23">
        <v>3</v>
      </c>
      <c r="F8" s="23" t="s">
        <v>494</v>
      </c>
      <c r="G8" s="23">
        <v>3</v>
      </c>
      <c r="H8" s="23" t="s">
        <v>490</v>
      </c>
    </row>
    <row r="9" spans="1:8" ht="57.6" x14ac:dyDescent="0.3">
      <c r="A9" s="52">
        <v>5</v>
      </c>
      <c r="B9" s="52" t="str">
        <f>WLs!C8</f>
        <v>Tochten FGIK</v>
      </c>
      <c r="C9" s="23">
        <v>3</v>
      </c>
      <c r="D9" s="23" t="s">
        <v>495</v>
      </c>
      <c r="E9" s="23">
        <v>3</v>
      </c>
      <c r="F9" s="23" t="s">
        <v>496</v>
      </c>
      <c r="G9" s="23">
        <v>3</v>
      </c>
      <c r="H9" s="23" t="s">
        <v>490</v>
      </c>
    </row>
    <row r="10" spans="1:8" ht="100.8" x14ac:dyDescent="0.3">
      <c r="A10" s="52">
        <v>6</v>
      </c>
      <c r="B10" s="52" t="str">
        <f>WLs!C9</f>
        <v>Tochten H</v>
      </c>
      <c r="C10" s="23">
        <v>2</v>
      </c>
      <c r="D10" s="23" t="s">
        <v>497</v>
      </c>
      <c r="E10" s="23">
        <v>1</v>
      </c>
      <c r="F10" s="23" t="s">
        <v>498</v>
      </c>
      <c r="G10" s="23">
        <v>1</v>
      </c>
      <c r="H10" s="23" t="s">
        <v>490</v>
      </c>
    </row>
    <row r="11" spans="1:8" ht="86.4" x14ac:dyDescent="0.3">
      <c r="A11" s="52">
        <v>7</v>
      </c>
      <c r="B11" s="52" t="str">
        <f>WLs!C10</f>
        <v>Tochten J</v>
      </c>
      <c r="C11" s="23">
        <v>3</v>
      </c>
      <c r="D11" s="23" t="s">
        <v>499</v>
      </c>
      <c r="E11" s="23">
        <v>3</v>
      </c>
      <c r="F11" s="23" t="s">
        <v>500</v>
      </c>
      <c r="G11" s="23">
        <v>3</v>
      </c>
      <c r="H11" s="23" t="s">
        <v>490</v>
      </c>
    </row>
    <row r="12" spans="1:8" ht="28.8" x14ac:dyDescent="0.3">
      <c r="A12" s="52">
        <v>8</v>
      </c>
      <c r="B12" s="52" t="str">
        <f>WLs!C11</f>
        <v>Tochten lage afdeling NOP</v>
      </c>
      <c r="C12" s="23">
        <v>2</v>
      </c>
      <c r="D12" s="23" t="s">
        <v>501</v>
      </c>
      <c r="E12" s="23">
        <v>2</v>
      </c>
      <c r="F12" s="23" t="s">
        <v>502</v>
      </c>
      <c r="G12" s="23">
        <v>2</v>
      </c>
      <c r="H12" s="23" t="s">
        <v>490</v>
      </c>
    </row>
    <row r="13" spans="1:8" ht="43.2" x14ac:dyDescent="0.3">
      <c r="A13" s="52">
        <v>9</v>
      </c>
      <c r="B13" s="52" t="str">
        <f>WLs!C12</f>
        <v>Tochten hoge afdeling NOP</v>
      </c>
      <c r="C13" s="23">
        <v>2</v>
      </c>
      <c r="D13" s="23" t="s">
        <v>503</v>
      </c>
      <c r="E13" s="23">
        <v>2</v>
      </c>
      <c r="F13" s="23" t="s">
        <v>502</v>
      </c>
      <c r="G13" s="23">
        <v>2</v>
      </c>
      <c r="H13" s="23" t="s">
        <v>490</v>
      </c>
    </row>
    <row r="14" spans="1:8" ht="57.6" x14ac:dyDescent="0.3">
      <c r="A14" s="52">
        <v>10</v>
      </c>
      <c r="B14" s="52" t="str">
        <f>WLs!C13</f>
        <v>Vaarten NOP</v>
      </c>
      <c r="C14" s="23">
        <v>1</v>
      </c>
      <c r="D14" s="23" t="s">
        <v>504</v>
      </c>
      <c r="E14" s="23">
        <v>1</v>
      </c>
      <c r="F14" s="23" t="s">
        <v>505</v>
      </c>
      <c r="G14" s="23">
        <v>1</v>
      </c>
      <c r="H14" s="23" t="s">
        <v>490</v>
      </c>
    </row>
    <row r="15" spans="1:8" ht="43.2" x14ac:dyDescent="0.3">
      <c r="A15" s="52">
        <v>11</v>
      </c>
      <c r="B15" s="52" t="str">
        <f>WLs!C14</f>
        <v>Vaarten hoge afdeling ZOF</v>
      </c>
      <c r="C15" s="23">
        <v>1</v>
      </c>
      <c r="D15" s="23" t="s">
        <v>506</v>
      </c>
      <c r="E15" s="23">
        <v>1</v>
      </c>
      <c r="F15" s="23" t="s">
        <v>489</v>
      </c>
      <c r="G15" s="23">
        <v>1</v>
      </c>
      <c r="H15" s="23" t="s">
        <v>490</v>
      </c>
    </row>
    <row r="16" spans="1:8" ht="86.4" x14ac:dyDescent="0.3">
      <c r="A16" s="52">
        <v>12</v>
      </c>
      <c r="B16" s="52" t="str">
        <f>WLs!C15</f>
        <v>Vaarten lage afdeling ZOF</v>
      </c>
      <c r="C16" s="23">
        <v>2</v>
      </c>
      <c r="D16" s="23" t="s">
        <v>507</v>
      </c>
      <c r="E16" s="23">
        <v>2</v>
      </c>
      <c r="F16" s="23" t="s">
        <v>489</v>
      </c>
      <c r="G16" s="23">
        <v>2</v>
      </c>
      <c r="H16" s="23" t="s">
        <v>490</v>
      </c>
    </row>
    <row r="17" spans="1:8" ht="172.8" x14ac:dyDescent="0.3">
      <c r="A17" s="52">
        <v>13</v>
      </c>
      <c r="B17" s="52" t="str">
        <f>WLs!C16</f>
        <v>Bovenwater</v>
      </c>
      <c r="C17" s="23">
        <v>1</v>
      </c>
      <c r="D17" s="23" t="s">
        <v>508</v>
      </c>
      <c r="E17" s="23">
        <v>1</v>
      </c>
      <c r="F17" s="23" t="s">
        <v>509</v>
      </c>
      <c r="G17" s="23">
        <v>1</v>
      </c>
      <c r="H17" s="23" t="s">
        <v>490</v>
      </c>
    </row>
    <row r="18" spans="1:8" ht="86.4" x14ac:dyDescent="0.3">
      <c r="A18" s="52">
        <v>14</v>
      </c>
      <c r="B18" s="52" t="str">
        <f>WLs!C17</f>
        <v>Harderbroek (oude deel)</v>
      </c>
      <c r="C18" s="23">
        <v>3</v>
      </c>
      <c r="D18" s="23" t="s">
        <v>510</v>
      </c>
      <c r="E18" s="23">
        <v>0</v>
      </c>
      <c r="F18" s="23" t="s">
        <v>511</v>
      </c>
      <c r="G18" s="23">
        <v>1</v>
      </c>
      <c r="H18" s="23" t="s">
        <v>512</v>
      </c>
    </row>
    <row r="19" spans="1:8" ht="72" x14ac:dyDescent="0.3">
      <c r="A19" s="52">
        <v>15</v>
      </c>
      <c r="B19" s="52" t="str">
        <f>WLs!C18</f>
        <v>Harderbroek Roerdomp</v>
      </c>
      <c r="C19" s="23">
        <v>3</v>
      </c>
      <c r="D19" s="23" t="s">
        <v>513</v>
      </c>
      <c r="E19" s="23">
        <v>3</v>
      </c>
      <c r="F19" s="23" t="s">
        <v>489</v>
      </c>
      <c r="G19" s="23">
        <v>3</v>
      </c>
      <c r="H19" s="23" t="s">
        <v>514</v>
      </c>
    </row>
    <row r="20" spans="1:8" ht="115.2" x14ac:dyDescent="0.3">
      <c r="A20" s="52">
        <v>16</v>
      </c>
      <c r="B20" s="52" t="str">
        <f>WLs!C19</f>
        <v>Lepelaarplassen</v>
      </c>
      <c r="C20" s="23">
        <v>1</v>
      </c>
      <c r="D20" s="23" t="s">
        <v>515</v>
      </c>
      <c r="E20" s="23">
        <v>1</v>
      </c>
      <c r="F20" s="23" t="s">
        <v>489</v>
      </c>
      <c r="G20" s="23">
        <v>1</v>
      </c>
      <c r="H20" s="23" t="s">
        <v>516</v>
      </c>
    </row>
    <row r="21" spans="1:8" ht="43.2" x14ac:dyDescent="0.3">
      <c r="A21" s="52">
        <v>17</v>
      </c>
      <c r="B21" s="52" t="str">
        <f>WLs!C20</f>
        <v>Noorderplassen</v>
      </c>
      <c r="C21" s="23">
        <v>1</v>
      </c>
      <c r="D21" s="23" t="s">
        <v>517</v>
      </c>
      <c r="E21" s="23">
        <v>1</v>
      </c>
      <c r="F21" s="23" t="s">
        <v>489</v>
      </c>
      <c r="G21" s="23">
        <v>1</v>
      </c>
      <c r="H21" s="23" t="s">
        <v>490</v>
      </c>
    </row>
    <row r="22" spans="1:8" ht="100.8" x14ac:dyDescent="0.3">
      <c r="A22" s="52">
        <v>18</v>
      </c>
      <c r="B22" s="52" t="str">
        <f>WLs!C21</f>
        <v>Oostvaardersplassen</v>
      </c>
      <c r="C22" s="23">
        <v>0</v>
      </c>
      <c r="D22" s="23" t="s">
        <v>518</v>
      </c>
      <c r="E22" s="23">
        <v>0</v>
      </c>
      <c r="F22" s="23" t="s">
        <v>518</v>
      </c>
      <c r="G22" s="23">
        <v>0</v>
      </c>
      <c r="H22" s="23" t="s">
        <v>519</v>
      </c>
    </row>
    <row r="23" spans="1:8" ht="72" x14ac:dyDescent="0.3">
      <c r="A23" s="52">
        <v>19</v>
      </c>
      <c r="B23" s="52" t="str">
        <f>WLs!C22</f>
        <v>Vollenhover- en Kadoelermeer</v>
      </c>
      <c r="C23" s="23">
        <v>1</v>
      </c>
      <c r="D23" s="23" t="s">
        <v>520</v>
      </c>
      <c r="E23" s="23">
        <v>2</v>
      </c>
      <c r="F23" s="23" t="s">
        <v>521</v>
      </c>
      <c r="G23" s="23">
        <v>1</v>
      </c>
      <c r="H23" s="23" t="s">
        <v>522</v>
      </c>
    </row>
    <row r="24" spans="1:8" ht="57.6" x14ac:dyDescent="0.3">
      <c r="A24" s="52">
        <v>20</v>
      </c>
      <c r="B24" s="52" t="str">
        <f>WLs!C23</f>
        <v>Weerwater</v>
      </c>
      <c r="C24" s="23">
        <v>1</v>
      </c>
      <c r="D24" s="23" t="s">
        <v>523</v>
      </c>
      <c r="E24" s="23">
        <v>1</v>
      </c>
      <c r="F24" s="23" t="s">
        <v>489</v>
      </c>
      <c r="G24" s="23">
        <v>1</v>
      </c>
      <c r="H24" s="23" t="s">
        <v>490</v>
      </c>
    </row>
  </sheetData>
  <mergeCells count="6">
    <mergeCell ref="A2:A4"/>
    <mergeCell ref="B2:B4"/>
    <mergeCell ref="G3:H3"/>
    <mergeCell ref="C2:H2"/>
    <mergeCell ref="C3:D3"/>
    <mergeCell ref="E3:F3"/>
  </mergeCells>
  <conditionalFormatting sqref="C5:C24 E5:E24 G5:G24">
    <cfRule type="cellIs" dxfId="35" priority="9" operator="equal">
      <formula>0</formula>
    </cfRule>
    <cfRule type="cellIs" dxfId="34" priority="10" operator="equal">
      <formula>3</formula>
    </cfRule>
    <cfRule type="cellIs" dxfId="33" priority="11" operator="equal">
      <formula>2</formula>
    </cfRule>
    <cfRule type="cellIs" dxfId="32" priority="12" operator="equal">
      <formula>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57852-B133-491E-BCBA-621D12A1DF1F}">
  <dimension ref="A2:H24"/>
  <sheetViews>
    <sheetView workbookViewId="0">
      <pane ySplit="4" topLeftCell="A5" activePane="bottomLeft" state="frozen"/>
      <selection pane="bottomLeft" activeCell="A5" sqref="A5"/>
    </sheetView>
  </sheetViews>
  <sheetFormatPr defaultRowHeight="14.4" x14ac:dyDescent="0.3"/>
  <cols>
    <col min="1" max="1" width="6.5546875" customWidth="1"/>
    <col min="2" max="2" width="25.5546875" bestFit="1" customWidth="1"/>
    <col min="3" max="3" width="8.44140625" customWidth="1"/>
    <col min="4" max="4" width="36.44140625" customWidth="1"/>
    <col min="5" max="5" width="8.44140625" customWidth="1"/>
    <col min="6" max="6" width="36.44140625" customWidth="1"/>
    <col min="7" max="7" width="8.44140625" customWidth="1"/>
    <col min="8" max="8" width="36.44140625" customWidth="1"/>
  </cols>
  <sheetData>
    <row r="2" spans="1:8" x14ac:dyDescent="0.3">
      <c r="A2" s="231" t="s">
        <v>149</v>
      </c>
      <c r="B2" s="231" t="s">
        <v>150</v>
      </c>
      <c r="C2" s="232" t="s">
        <v>524</v>
      </c>
      <c r="D2" s="232"/>
      <c r="E2" s="232"/>
      <c r="F2" s="232"/>
      <c r="G2" s="232"/>
      <c r="H2" s="232"/>
    </row>
    <row r="3" spans="1:8" x14ac:dyDescent="0.3">
      <c r="A3" s="231"/>
      <c r="B3" s="231"/>
      <c r="C3" s="231" t="s">
        <v>130</v>
      </c>
      <c r="D3" s="231"/>
      <c r="E3" s="231" t="s">
        <v>131</v>
      </c>
      <c r="F3" s="231"/>
      <c r="G3" s="232" t="s">
        <v>132</v>
      </c>
      <c r="H3" s="232"/>
    </row>
    <row r="4" spans="1:8" x14ac:dyDescent="0.3">
      <c r="A4" s="231"/>
      <c r="B4" s="231"/>
      <c r="C4" s="32" t="s">
        <v>487</v>
      </c>
      <c r="D4" s="32" t="s">
        <v>5</v>
      </c>
      <c r="E4" s="32" t="s">
        <v>487</v>
      </c>
      <c r="F4" s="32" t="s">
        <v>5</v>
      </c>
      <c r="G4" s="32" t="s">
        <v>487</v>
      </c>
      <c r="H4" s="32" t="s">
        <v>5</v>
      </c>
    </row>
    <row r="5" spans="1:8" ht="43.2" x14ac:dyDescent="0.3">
      <c r="A5" s="52">
        <v>1</v>
      </c>
      <c r="B5" s="52" t="str">
        <f>WLs!C4</f>
        <v>Tochten ABC1</v>
      </c>
      <c r="C5" s="23">
        <v>1</v>
      </c>
      <c r="D5" s="23" t="s">
        <v>525</v>
      </c>
      <c r="E5" s="23">
        <v>1</v>
      </c>
      <c r="F5" s="23" t="s">
        <v>489</v>
      </c>
      <c r="G5" s="23">
        <v>1</v>
      </c>
      <c r="H5" s="23" t="s">
        <v>490</v>
      </c>
    </row>
    <row r="6" spans="1:8" ht="86.4" x14ac:dyDescent="0.3">
      <c r="A6" s="52">
        <v>2</v>
      </c>
      <c r="B6" s="52" t="str">
        <f>WLs!C5</f>
        <v>Tochten ABC2</v>
      </c>
      <c r="C6" s="23">
        <v>1</v>
      </c>
      <c r="D6" s="23" t="s">
        <v>526</v>
      </c>
      <c r="E6" s="23">
        <v>1</v>
      </c>
      <c r="F6" s="23" t="s">
        <v>489</v>
      </c>
      <c r="G6" s="23">
        <v>1</v>
      </c>
      <c r="H6" s="23" t="s">
        <v>490</v>
      </c>
    </row>
    <row r="7" spans="1:8" ht="43.2" x14ac:dyDescent="0.3">
      <c r="A7" s="52">
        <v>3</v>
      </c>
      <c r="B7" s="52" t="str">
        <f>WLs!C6</f>
        <v>Tochten DE Almere</v>
      </c>
      <c r="C7" s="23"/>
      <c r="D7" s="23" t="s">
        <v>492</v>
      </c>
      <c r="E7" s="23">
        <v>1</v>
      </c>
      <c r="F7" s="23" t="s">
        <v>525</v>
      </c>
      <c r="G7" s="23">
        <v>1</v>
      </c>
      <c r="H7" s="23" t="s">
        <v>490</v>
      </c>
    </row>
    <row r="8" spans="1:8" ht="57.6" x14ac:dyDescent="0.3">
      <c r="A8" s="52">
        <v>4</v>
      </c>
      <c r="B8" s="52" t="str">
        <f>WLs!C7</f>
        <v>Tochten DE Zuidlob</v>
      </c>
      <c r="C8" s="23"/>
      <c r="D8" s="23" t="s">
        <v>492</v>
      </c>
      <c r="E8" s="23">
        <v>3</v>
      </c>
      <c r="F8" s="23" t="s">
        <v>527</v>
      </c>
      <c r="G8" s="23">
        <v>3</v>
      </c>
      <c r="H8" s="23" t="s">
        <v>490</v>
      </c>
    </row>
    <row r="9" spans="1:8" ht="72" x14ac:dyDescent="0.3">
      <c r="A9" s="52">
        <v>5</v>
      </c>
      <c r="B9" s="52" t="str">
        <f>WLs!C8</f>
        <v>Tochten FGIK</v>
      </c>
      <c r="C9" s="23">
        <v>2</v>
      </c>
      <c r="D9" s="23" t="s">
        <v>528</v>
      </c>
      <c r="E9" s="23">
        <v>2</v>
      </c>
      <c r="F9" s="23" t="s">
        <v>489</v>
      </c>
      <c r="G9" s="23">
        <v>2</v>
      </c>
      <c r="H9" s="23" t="s">
        <v>490</v>
      </c>
    </row>
    <row r="10" spans="1:8" ht="72" x14ac:dyDescent="0.3">
      <c r="A10" s="52">
        <v>6</v>
      </c>
      <c r="B10" s="52" t="str">
        <f>WLs!C9</f>
        <v>Tochten H</v>
      </c>
      <c r="C10" s="23">
        <v>1</v>
      </c>
      <c r="D10" s="23" t="s">
        <v>529</v>
      </c>
      <c r="E10" s="23">
        <v>1</v>
      </c>
      <c r="F10" s="23" t="s">
        <v>489</v>
      </c>
      <c r="G10" s="23">
        <v>1</v>
      </c>
      <c r="H10" s="23" t="s">
        <v>490</v>
      </c>
    </row>
    <row r="11" spans="1:8" ht="43.2" x14ac:dyDescent="0.3">
      <c r="A11" s="52">
        <v>7</v>
      </c>
      <c r="B11" s="52" t="str">
        <f>WLs!C10</f>
        <v>Tochten J</v>
      </c>
      <c r="C11" s="23">
        <v>3</v>
      </c>
      <c r="D11" s="23" t="s">
        <v>530</v>
      </c>
      <c r="E11" s="23">
        <v>3</v>
      </c>
      <c r="F11" s="23" t="s">
        <v>489</v>
      </c>
      <c r="G11" s="23">
        <v>3</v>
      </c>
      <c r="H11" s="23" t="s">
        <v>490</v>
      </c>
    </row>
    <row r="12" spans="1:8" ht="57.6" x14ac:dyDescent="0.3">
      <c r="A12" s="52">
        <v>8</v>
      </c>
      <c r="B12" s="52" t="str">
        <f>WLs!C11</f>
        <v>Tochten lage afdeling NOP</v>
      </c>
      <c r="C12" s="23">
        <v>3</v>
      </c>
      <c r="D12" s="23" t="s">
        <v>531</v>
      </c>
      <c r="E12" s="23">
        <v>3</v>
      </c>
      <c r="F12" s="23" t="s">
        <v>532</v>
      </c>
      <c r="G12" s="23">
        <v>3</v>
      </c>
      <c r="H12" s="23" t="s">
        <v>490</v>
      </c>
    </row>
    <row r="13" spans="1:8" ht="72" x14ac:dyDescent="0.3">
      <c r="A13" s="52">
        <v>9</v>
      </c>
      <c r="B13" s="52" t="str">
        <f>WLs!C12</f>
        <v>Tochten hoge afdeling NOP</v>
      </c>
      <c r="C13" s="23">
        <v>2</v>
      </c>
      <c r="D13" s="23" t="s">
        <v>533</v>
      </c>
      <c r="E13" s="23">
        <v>2</v>
      </c>
      <c r="F13" s="23" t="s">
        <v>532</v>
      </c>
      <c r="G13" s="23">
        <v>2</v>
      </c>
      <c r="H13" s="23" t="s">
        <v>490</v>
      </c>
    </row>
    <row r="14" spans="1:8" ht="72" x14ac:dyDescent="0.3">
      <c r="A14" s="52">
        <v>10</v>
      </c>
      <c r="B14" s="52" t="str">
        <f>WLs!C13</f>
        <v>Vaarten NOP</v>
      </c>
      <c r="C14" s="23">
        <v>2</v>
      </c>
      <c r="D14" s="23" t="s">
        <v>534</v>
      </c>
      <c r="E14" s="23">
        <v>2</v>
      </c>
      <c r="F14" s="23" t="s">
        <v>535</v>
      </c>
      <c r="G14" s="23">
        <v>2</v>
      </c>
      <c r="H14" s="23" t="s">
        <v>490</v>
      </c>
    </row>
    <row r="15" spans="1:8" ht="72" x14ac:dyDescent="0.3">
      <c r="A15" s="52">
        <v>11</v>
      </c>
      <c r="B15" s="52" t="str">
        <f>WLs!C14</f>
        <v>Vaarten hoge afdeling ZOF</v>
      </c>
      <c r="C15" s="23">
        <v>1</v>
      </c>
      <c r="D15" s="23" t="s">
        <v>536</v>
      </c>
      <c r="E15" s="23">
        <v>1</v>
      </c>
      <c r="F15" s="23" t="s">
        <v>489</v>
      </c>
      <c r="G15" s="23">
        <v>1</v>
      </c>
      <c r="H15" s="23" t="s">
        <v>490</v>
      </c>
    </row>
    <row r="16" spans="1:8" ht="72" x14ac:dyDescent="0.3">
      <c r="A16" s="52">
        <v>12</v>
      </c>
      <c r="B16" s="52" t="str">
        <f>WLs!C15</f>
        <v>Vaarten lage afdeling ZOF</v>
      </c>
      <c r="C16" s="23">
        <v>1</v>
      </c>
      <c r="D16" s="23" t="s">
        <v>537</v>
      </c>
      <c r="E16" s="23">
        <v>1</v>
      </c>
      <c r="F16" s="23" t="s">
        <v>489</v>
      </c>
      <c r="G16" s="23">
        <v>1</v>
      </c>
      <c r="H16" s="23" t="s">
        <v>490</v>
      </c>
    </row>
    <row r="17" spans="1:8" ht="86.4" x14ac:dyDescent="0.3">
      <c r="A17" s="52">
        <v>13</v>
      </c>
      <c r="B17" s="52" t="str">
        <f>WLs!C16</f>
        <v>Bovenwater</v>
      </c>
      <c r="C17" s="23">
        <v>1</v>
      </c>
      <c r="D17" s="23" t="s">
        <v>538</v>
      </c>
      <c r="E17" s="23">
        <v>1</v>
      </c>
      <c r="F17" s="23" t="s">
        <v>489</v>
      </c>
      <c r="G17" s="23">
        <v>1</v>
      </c>
      <c r="H17" s="23" t="s">
        <v>490</v>
      </c>
    </row>
    <row r="18" spans="1:8" ht="100.8" x14ac:dyDescent="0.3">
      <c r="A18" s="52">
        <v>14</v>
      </c>
      <c r="B18" s="52" t="str">
        <f>WLs!C17</f>
        <v>Harderbroek (oude deel)</v>
      </c>
      <c r="C18" s="23">
        <v>3</v>
      </c>
      <c r="D18" s="23" t="s">
        <v>539</v>
      </c>
      <c r="E18" s="23">
        <v>0</v>
      </c>
      <c r="F18" s="23" t="s">
        <v>511</v>
      </c>
      <c r="G18" s="23">
        <v>1</v>
      </c>
      <c r="H18" s="23" t="s">
        <v>540</v>
      </c>
    </row>
    <row r="19" spans="1:8" ht="86.4" x14ac:dyDescent="0.3">
      <c r="A19" s="52">
        <v>15</v>
      </c>
      <c r="B19" s="52" t="str">
        <f>WLs!C18</f>
        <v>Harderbroek Roerdomp</v>
      </c>
      <c r="C19" s="23">
        <v>3</v>
      </c>
      <c r="D19" s="23" t="s">
        <v>541</v>
      </c>
      <c r="E19" s="23">
        <v>3</v>
      </c>
      <c r="F19" s="23" t="s">
        <v>489</v>
      </c>
      <c r="G19" s="23">
        <v>3</v>
      </c>
      <c r="H19" s="23" t="s">
        <v>514</v>
      </c>
    </row>
    <row r="20" spans="1:8" ht="57.6" x14ac:dyDescent="0.3">
      <c r="A20" s="52">
        <v>16</v>
      </c>
      <c r="B20" s="52" t="str">
        <f>WLs!C19</f>
        <v>Lepelaarplassen</v>
      </c>
      <c r="C20" s="23">
        <v>1</v>
      </c>
      <c r="D20" s="23" t="s">
        <v>542</v>
      </c>
      <c r="E20" s="23">
        <v>1</v>
      </c>
      <c r="F20" s="23" t="s">
        <v>543</v>
      </c>
      <c r="G20" s="23">
        <v>1</v>
      </c>
      <c r="H20" s="23" t="s">
        <v>516</v>
      </c>
    </row>
    <row r="21" spans="1:8" ht="28.8" x14ac:dyDescent="0.3">
      <c r="A21" s="52">
        <v>17</v>
      </c>
      <c r="B21" s="52" t="str">
        <f>WLs!C20</f>
        <v>Noorderplassen</v>
      </c>
      <c r="C21" s="23">
        <v>1</v>
      </c>
      <c r="D21" s="23" t="s">
        <v>544</v>
      </c>
      <c r="E21" s="23">
        <v>1</v>
      </c>
      <c r="F21" s="23" t="s">
        <v>543</v>
      </c>
      <c r="G21" s="23">
        <v>1</v>
      </c>
      <c r="H21" s="23" t="s">
        <v>490</v>
      </c>
    </row>
    <row r="22" spans="1:8" ht="100.8" x14ac:dyDescent="0.3">
      <c r="A22" s="52">
        <v>18</v>
      </c>
      <c r="B22" s="52" t="str">
        <f>WLs!C21</f>
        <v>Oostvaardersplassen</v>
      </c>
      <c r="C22" s="23">
        <v>0</v>
      </c>
      <c r="D22" s="23" t="s">
        <v>518</v>
      </c>
      <c r="E22" s="23">
        <v>0</v>
      </c>
      <c r="F22" s="23" t="s">
        <v>518</v>
      </c>
      <c r="G22" s="23">
        <v>0</v>
      </c>
      <c r="H22" s="23" t="s">
        <v>545</v>
      </c>
    </row>
    <row r="23" spans="1:8" ht="43.2" x14ac:dyDescent="0.3">
      <c r="A23" s="52">
        <v>19</v>
      </c>
      <c r="B23" s="52" t="str">
        <f>WLs!C22</f>
        <v>Vollenhover- en Kadoelermeer</v>
      </c>
      <c r="C23" s="23">
        <v>1</v>
      </c>
      <c r="D23" s="23" t="s">
        <v>546</v>
      </c>
      <c r="E23" s="23">
        <v>1</v>
      </c>
      <c r="F23" s="23" t="s">
        <v>543</v>
      </c>
      <c r="G23" s="23">
        <v>1</v>
      </c>
      <c r="H23" s="23" t="s">
        <v>490</v>
      </c>
    </row>
    <row r="24" spans="1:8" ht="86.4" x14ac:dyDescent="0.3">
      <c r="A24" s="52">
        <v>20</v>
      </c>
      <c r="B24" s="52" t="str">
        <f>WLs!C23</f>
        <v>Weerwater</v>
      </c>
      <c r="C24" s="23">
        <v>1</v>
      </c>
      <c r="D24" s="23" t="s">
        <v>547</v>
      </c>
      <c r="E24" s="23">
        <v>1</v>
      </c>
      <c r="F24" s="23" t="s">
        <v>489</v>
      </c>
      <c r="G24" s="23">
        <v>1</v>
      </c>
      <c r="H24" s="23" t="s">
        <v>490</v>
      </c>
    </row>
  </sheetData>
  <mergeCells count="6">
    <mergeCell ref="A2:A4"/>
    <mergeCell ref="B2:B4"/>
    <mergeCell ref="G3:H3"/>
    <mergeCell ref="C3:D3"/>
    <mergeCell ref="E3:F3"/>
    <mergeCell ref="C2:H2"/>
  </mergeCells>
  <conditionalFormatting sqref="C5:C24 E5:E24 G5:G24">
    <cfRule type="cellIs" dxfId="31" priority="9" operator="equal">
      <formula>0</formula>
    </cfRule>
    <cfRule type="cellIs" dxfId="30" priority="10" operator="equal">
      <formula>3</formula>
    </cfRule>
    <cfRule type="cellIs" dxfId="29" priority="11" operator="equal">
      <formula>2</formula>
    </cfRule>
    <cfRule type="cellIs" dxfId="28" priority="12" operator="equal">
      <formula>1</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97917-B0F6-4BC6-9746-47B26BB7B48C}">
  <dimension ref="A2:H24"/>
  <sheetViews>
    <sheetView workbookViewId="0">
      <pane ySplit="4" topLeftCell="A5" activePane="bottomLeft" state="frozen"/>
      <selection pane="bottomLeft" activeCell="A5" sqref="A5"/>
    </sheetView>
  </sheetViews>
  <sheetFormatPr defaultRowHeight="14.4" x14ac:dyDescent="0.3"/>
  <cols>
    <col min="1" max="1" width="6.5546875" customWidth="1"/>
    <col min="2" max="2" width="25.5546875" bestFit="1" customWidth="1"/>
    <col min="3" max="3" width="8.44140625" customWidth="1"/>
    <col min="4" max="4" width="36.44140625" customWidth="1"/>
    <col min="5" max="5" width="8.44140625" customWidth="1"/>
    <col min="6" max="6" width="36.44140625" customWidth="1"/>
    <col min="7" max="7" width="8.44140625" customWidth="1"/>
    <col min="8" max="8" width="36.44140625" customWidth="1"/>
  </cols>
  <sheetData>
    <row r="2" spans="1:8" x14ac:dyDescent="0.3">
      <c r="A2" s="231" t="s">
        <v>149</v>
      </c>
      <c r="B2" s="231" t="s">
        <v>150</v>
      </c>
      <c r="C2" s="232" t="s">
        <v>548</v>
      </c>
      <c r="D2" s="232"/>
      <c r="E2" s="232"/>
      <c r="F2" s="232"/>
      <c r="G2" s="232"/>
      <c r="H2" s="232"/>
    </row>
    <row r="3" spans="1:8" x14ac:dyDescent="0.3">
      <c r="A3" s="231"/>
      <c r="B3" s="231"/>
      <c r="C3" s="231" t="s">
        <v>130</v>
      </c>
      <c r="D3" s="231"/>
      <c r="E3" s="231" t="s">
        <v>131</v>
      </c>
      <c r="F3" s="231"/>
      <c r="G3" s="232" t="s">
        <v>132</v>
      </c>
      <c r="H3" s="232"/>
    </row>
    <row r="4" spans="1:8" x14ac:dyDescent="0.3">
      <c r="A4" s="231"/>
      <c r="B4" s="231"/>
      <c r="C4" s="32" t="s">
        <v>487</v>
      </c>
      <c r="D4" s="32" t="s">
        <v>5</v>
      </c>
      <c r="E4" s="32" t="s">
        <v>487</v>
      </c>
      <c r="F4" s="32" t="s">
        <v>5</v>
      </c>
      <c r="G4" s="32" t="s">
        <v>487</v>
      </c>
      <c r="H4" s="32" t="s">
        <v>5</v>
      </c>
    </row>
    <row r="5" spans="1:8" ht="86.4" x14ac:dyDescent="0.3">
      <c r="A5" s="52">
        <v>1</v>
      </c>
      <c r="B5" s="52" t="str">
        <f>WLs!C4</f>
        <v>Tochten ABC1</v>
      </c>
      <c r="C5" s="23">
        <v>2</v>
      </c>
      <c r="D5" s="23" t="s">
        <v>549</v>
      </c>
      <c r="E5" s="23">
        <v>2</v>
      </c>
      <c r="F5" s="23" t="s">
        <v>489</v>
      </c>
      <c r="G5" s="23">
        <v>2</v>
      </c>
      <c r="H5" s="23" t="s">
        <v>550</v>
      </c>
    </row>
    <row r="6" spans="1:8" ht="43.2" x14ac:dyDescent="0.3">
      <c r="A6" s="52">
        <v>2</v>
      </c>
      <c r="B6" s="52" t="str">
        <f>WLs!C5</f>
        <v>Tochten ABC2</v>
      </c>
      <c r="C6" s="23">
        <v>3</v>
      </c>
      <c r="D6" s="23" t="s">
        <v>551</v>
      </c>
      <c r="E6" s="23">
        <v>3</v>
      </c>
      <c r="F6" s="23" t="s">
        <v>489</v>
      </c>
      <c r="G6" s="23">
        <v>3</v>
      </c>
      <c r="H6" s="23" t="s">
        <v>550</v>
      </c>
    </row>
    <row r="7" spans="1:8" ht="43.2" x14ac:dyDescent="0.3">
      <c r="A7" s="52">
        <v>3</v>
      </c>
      <c r="B7" s="52" t="str">
        <f>WLs!C6</f>
        <v>Tochten DE Almere</v>
      </c>
      <c r="C7" s="23"/>
      <c r="D7" s="23" t="s">
        <v>492</v>
      </c>
      <c r="E7" s="23">
        <v>2</v>
      </c>
      <c r="F7" s="23" t="s">
        <v>552</v>
      </c>
      <c r="G7" s="23">
        <v>2</v>
      </c>
      <c r="H7" s="23" t="s">
        <v>550</v>
      </c>
    </row>
    <row r="8" spans="1:8" ht="28.8" x14ac:dyDescent="0.3">
      <c r="A8" s="52">
        <v>4</v>
      </c>
      <c r="B8" s="52" t="str">
        <f>WLs!C7</f>
        <v>Tochten DE Zuidlob</v>
      </c>
      <c r="C8" s="23"/>
      <c r="D8" s="23" t="s">
        <v>492</v>
      </c>
      <c r="E8" s="23">
        <v>3</v>
      </c>
      <c r="F8" s="23" t="s">
        <v>553</v>
      </c>
      <c r="G8" s="23">
        <v>3</v>
      </c>
      <c r="H8" s="23" t="s">
        <v>550</v>
      </c>
    </row>
    <row r="9" spans="1:8" ht="86.4" x14ac:dyDescent="0.3">
      <c r="A9" s="52">
        <v>5</v>
      </c>
      <c r="B9" s="52" t="str">
        <f>WLs!C8</f>
        <v>Tochten FGIK</v>
      </c>
      <c r="C9" s="23">
        <v>3</v>
      </c>
      <c r="D9" s="23" t="s">
        <v>554</v>
      </c>
      <c r="E9" s="23">
        <v>3</v>
      </c>
      <c r="F9" s="23" t="s">
        <v>489</v>
      </c>
      <c r="G9" s="23">
        <v>3</v>
      </c>
      <c r="H9" s="23" t="s">
        <v>550</v>
      </c>
    </row>
    <row r="10" spans="1:8" ht="57.6" x14ac:dyDescent="0.3">
      <c r="A10" s="52">
        <v>6</v>
      </c>
      <c r="B10" s="52" t="str">
        <f>WLs!C9</f>
        <v>Tochten H</v>
      </c>
      <c r="C10" s="23">
        <v>3</v>
      </c>
      <c r="D10" s="23" t="s">
        <v>555</v>
      </c>
      <c r="E10" s="23">
        <v>3</v>
      </c>
      <c r="F10" s="23" t="s">
        <v>489</v>
      </c>
      <c r="G10" s="23">
        <v>3</v>
      </c>
      <c r="H10" s="23" t="s">
        <v>550</v>
      </c>
    </row>
    <row r="11" spans="1:8" ht="57.6" x14ac:dyDescent="0.3">
      <c r="A11" s="52">
        <v>7</v>
      </c>
      <c r="B11" s="52" t="str">
        <f>WLs!C10</f>
        <v>Tochten J</v>
      </c>
      <c r="C11" s="23">
        <v>3</v>
      </c>
      <c r="D11" s="23" t="s">
        <v>556</v>
      </c>
      <c r="E11" s="23">
        <v>3</v>
      </c>
      <c r="F11" s="23" t="s">
        <v>489</v>
      </c>
      <c r="G11" s="23">
        <v>3</v>
      </c>
      <c r="H11" s="23" t="s">
        <v>550</v>
      </c>
    </row>
    <row r="12" spans="1:8" ht="72" x14ac:dyDescent="0.3">
      <c r="A12" s="52">
        <v>8</v>
      </c>
      <c r="B12" s="52" t="str">
        <f>WLs!C11</f>
        <v>Tochten lage afdeling NOP</v>
      </c>
      <c r="C12" s="23">
        <v>3</v>
      </c>
      <c r="D12" s="23" t="s">
        <v>557</v>
      </c>
      <c r="E12" s="23">
        <v>3</v>
      </c>
      <c r="F12" s="23" t="s">
        <v>489</v>
      </c>
      <c r="G12" s="23">
        <v>3</v>
      </c>
      <c r="H12" s="23" t="s">
        <v>550</v>
      </c>
    </row>
    <row r="13" spans="1:8" ht="57.6" x14ac:dyDescent="0.3">
      <c r="A13" s="52">
        <v>9</v>
      </c>
      <c r="B13" s="52" t="str">
        <f>WLs!C12</f>
        <v>Tochten hoge afdeling NOP</v>
      </c>
      <c r="C13" s="23">
        <v>3</v>
      </c>
      <c r="D13" s="23" t="s">
        <v>558</v>
      </c>
      <c r="E13" s="23">
        <v>3</v>
      </c>
      <c r="F13" s="23" t="s">
        <v>489</v>
      </c>
      <c r="G13" s="23">
        <v>3</v>
      </c>
      <c r="H13" s="23" t="s">
        <v>550</v>
      </c>
    </row>
    <row r="14" spans="1:8" ht="72" x14ac:dyDescent="0.3">
      <c r="A14" s="52">
        <v>10</v>
      </c>
      <c r="B14" s="52" t="str">
        <f>WLs!C13</f>
        <v>Vaarten NOP</v>
      </c>
      <c r="C14" s="23">
        <v>2</v>
      </c>
      <c r="D14" s="23" t="s">
        <v>559</v>
      </c>
      <c r="E14" s="23">
        <v>2</v>
      </c>
      <c r="F14" s="23" t="s">
        <v>489</v>
      </c>
      <c r="G14" s="23">
        <v>2</v>
      </c>
      <c r="H14" s="23" t="s">
        <v>550</v>
      </c>
    </row>
    <row r="15" spans="1:8" ht="72" x14ac:dyDescent="0.3">
      <c r="A15" s="52">
        <v>11</v>
      </c>
      <c r="B15" s="52" t="str">
        <f>WLs!C14</f>
        <v>Vaarten hoge afdeling ZOF</v>
      </c>
      <c r="C15" s="23">
        <v>2</v>
      </c>
      <c r="D15" s="23" t="s">
        <v>560</v>
      </c>
      <c r="E15" s="23">
        <v>2</v>
      </c>
      <c r="F15" s="23" t="s">
        <v>489</v>
      </c>
      <c r="G15" s="23">
        <v>2</v>
      </c>
      <c r="H15" s="23" t="s">
        <v>550</v>
      </c>
    </row>
    <row r="16" spans="1:8" ht="43.2" x14ac:dyDescent="0.3">
      <c r="A16" s="52">
        <v>12</v>
      </c>
      <c r="B16" s="52" t="str">
        <f>WLs!C15</f>
        <v>Vaarten lage afdeling ZOF</v>
      </c>
      <c r="C16" s="23">
        <v>2</v>
      </c>
      <c r="D16" s="23" t="s">
        <v>561</v>
      </c>
      <c r="E16" s="23">
        <v>2</v>
      </c>
      <c r="F16" s="23" t="s">
        <v>489</v>
      </c>
      <c r="G16" s="23">
        <v>2</v>
      </c>
      <c r="H16" s="23" t="s">
        <v>550</v>
      </c>
    </row>
    <row r="17" spans="1:8" ht="158.4" x14ac:dyDescent="0.3">
      <c r="A17" s="52">
        <v>13</v>
      </c>
      <c r="B17" s="52" t="str">
        <f>WLs!C16</f>
        <v>Bovenwater</v>
      </c>
      <c r="C17" s="23">
        <v>3</v>
      </c>
      <c r="D17" s="23" t="s">
        <v>562</v>
      </c>
      <c r="E17" s="23">
        <v>3</v>
      </c>
      <c r="F17" s="23" t="s">
        <v>489</v>
      </c>
      <c r="G17" s="23">
        <v>3</v>
      </c>
      <c r="H17" s="23" t="s">
        <v>550</v>
      </c>
    </row>
    <row r="18" spans="1:8" ht="72" x14ac:dyDescent="0.3">
      <c r="A18" s="52">
        <v>14</v>
      </c>
      <c r="B18" s="52" t="str">
        <f>WLs!C17</f>
        <v>Harderbroek (oude deel)</v>
      </c>
      <c r="C18" s="23">
        <v>3</v>
      </c>
      <c r="D18" s="23" t="s">
        <v>563</v>
      </c>
      <c r="E18" s="23">
        <v>2</v>
      </c>
      <c r="F18" s="23" t="s">
        <v>564</v>
      </c>
      <c r="G18" s="23">
        <v>2</v>
      </c>
      <c r="H18" s="23" t="s">
        <v>565</v>
      </c>
    </row>
    <row r="19" spans="1:8" ht="43.2" x14ac:dyDescent="0.3">
      <c r="A19" s="52">
        <v>15</v>
      </c>
      <c r="B19" s="52" t="str">
        <f>WLs!C18</f>
        <v>Harderbroek Roerdomp</v>
      </c>
      <c r="C19" s="23">
        <v>3</v>
      </c>
      <c r="D19" s="23" t="s">
        <v>566</v>
      </c>
      <c r="E19" s="23">
        <v>3</v>
      </c>
      <c r="F19" s="23" t="s">
        <v>489</v>
      </c>
      <c r="G19" s="23">
        <v>3</v>
      </c>
      <c r="H19" s="23" t="s">
        <v>565</v>
      </c>
    </row>
    <row r="20" spans="1:8" ht="57.6" x14ac:dyDescent="0.3">
      <c r="A20" s="52">
        <v>16</v>
      </c>
      <c r="B20" s="52" t="str">
        <f>WLs!C19</f>
        <v>Lepelaarplassen</v>
      </c>
      <c r="C20" s="23">
        <v>2</v>
      </c>
      <c r="D20" s="23" t="s">
        <v>567</v>
      </c>
      <c r="E20" s="23">
        <v>2</v>
      </c>
      <c r="F20" s="23" t="s">
        <v>543</v>
      </c>
      <c r="G20" s="23">
        <v>2</v>
      </c>
      <c r="H20" s="23" t="s">
        <v>516</v>
      </c>
    </row>
    <row r="21" spans="1:8" ht="72" x14ac:dyDescent="0.3">
      <c r="A21" s="52">
        <v>17</v>
      </c>
      <c r="B21" s="52" t="str">
        <f>WLs!C20</f>
        <v>Noorderplassen</v>
      </c>
      <c r="C21" s="23">
        <v>2</v>
      </c>
      <c r="D21" s="23" t="s">
        <v>568</v>
      </c>
      <c r="E21" s="23">
        <v>2</v>
      </c>
      <c r="F21" s="23" t="s">
        <v>543</v>
      </c>
      <c r="G21" s="23">
        <v>2</v>
      </c>
      <c r="H21" s="23" t="s">
        <v>490</v>
      </c>
    </row>
    <row r="22" spans="1:8" ht="100.8" x14ac:dyDescent="0.3">
      <c r="A22" s="52">
        <v>18</v>
      </c>
      <c r="B22" s="139" t="str">
        <f>WLs!C21</f>
        <v>Oostvaardersplassen</v>
      </c>
      <c r="C22" s="23">
        <v>0</v>
      </c>
      <c r="D22" s="23" t="s">
        <v>518</v>
      </c>
      <c r="E22" s="23">
        <v>0</v>
      </c>
      <c r="F22" s="23" t="s">
        <v>518</v>
      </c>
      <c r="G22" s="23">
        <v>0</v>
      </c>
      <c r="H22" s="23" t="s">
        <v>545</v>
      </c>
    </row>
    <row r="23" spans="1:8" ht="43.2" x14ac:dyDescent="0.3">
      <c r="A23" s="52">
        <v>19</v>
      </c>
      <c r="B23" s="139" t="str">
        <f>WLs!C22</f>
        <v>Vollenhover- en Kadoelermeer</v>
      </c>
      <c r="C23" s="23">
        <v>1</v>
      </c>
      <c r="D23" s="23" t="s">
        <v>569</v>
      </c>
      <c r="E23" s="23">
        <v>1</v>
      </c>
      <c r="F23" s="23" t="s">
        <v>543</v>
      </c>
      <c r="G23" s="23">
        <v>1</v>
      </c>
      <c r="H23" s="23" t="s">
        <v>490</v>
      </c>
    </row>
    <row r="24" spans="1:8" ht="43.2" x14ac:dyDescent="0.3">
      <c r="A24" s="52">
        <v>20</v>
      </c>
      <c r="B24" s="139" t="str">
        <f>WLs!C23</f>
        <v>Weerwater</v>
      </c>
      <c r="C24" s="23">
        <v>1</v>
      </c>
      <c r="D24" s="23" t="s">
        <v>570</v>
      </c>
      <c r="E24" s="23">
        <v>1</v>
      </c>
      <c r="F24" s="23" t="s">
        <v>489</v>
      </c>
      <c r="G24" s="23">
        <v>1</v>
      </c>
      <c r="H24" s="23" t="s">
        <v>490</v>
      </c>
    </row>
  </sheetData>
  <mergeCells count="6">
    <mergeCell ref="A2:A4"/>
    <mergeCell ref="B2:B4"/>
    <mergeCell ref="G3:H3"/>
    <mergeCell ref="C3:D3"/>
    <mergeCell ref="C2:H2"/>
    <mergeCell ref="E3:F3"/>
  </mergeCells>
  <conditionalFormatting sqref="D5:D13 F5:F13 C5:C24 E5:E24 G5:G24">
    <cfRule type="cellIs" dxfId="27" priority="17" operator="equal">
      <formula>0</formula>
    </cfRule>
    <cfRule type="cellIs" dxfId="26" priority="18" operator="equal">
      <formula>3</formula>
    </cfRule>
    <cfRule type="cellIs" dxfId="25" priority="19" operator="equal">
      <formula>2</formula>
    </cfRule>
    <cfRule type="cellIs" dxfId="24" priority="20"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A2414-6449-4056-BDB6-4A51B7B0F6B8}">
  <dimension ref="A1:CM164"/>
  <sheetViews>
    <sheetView showGridLines="0" zoomScale="110" zoomScaleNormal="110" workbookViewId="0">
      <pane ySplit="1" topLeftCell="A2" activePane="bottomLeft" state="frozen"/>
      <selection pane="bottomLeft" activeCell="A2" sqref="A2:N2"/>
    </sheetView>
  </sheetViews>
  <sheetFormatPr defaultRowHeight="14.4" x14ac:dyDescent="0.3"/>
  <cols>
    <col min="1" max="1" width="10.21875" customWidth="1"/>
    <col min="2" max="2" width="10.5546875" customWidth="1"/>
    <col min="3" max="14" width="10.21875" customWidth="1"/>
    <col min="15" max="15" width="2.44140625" customWidth="1"/>
    <col min="19" max="19" width="4.44140625" customWidth="1"/>
    <col min="20" max="20" width="23.5546875" customWidth="1"/>
    <col min="21" max="53" width="7.44140625" customWidth="1"/>
    <col min="54" max="90" width="8.77734375" customWidth="1"/>
  </cols>
  <sheetData>
    <row r="1" spans="1:91" ht="18" x14ac:dyDescent="0.35">
      <c r="A1" s="180" t="str">
        <f>VLOOKUP($R$1,WLs!$A$4:$E$23,2,FALSE)</f>
        <v>NL37_Weerwater</v>
      </c>
      <c r="B1" s="180"/>
      <c r="C1" s="180"/>
      <c r="D1" s="180" t="str">
        <f>VLOOKUP($R$1,WLs!$A$4:$E$23,3,FALSE)</f>
        <v>Weerwater</v>
      </c>
      <c r="E1" s="180"/>
      <c r="F1" s="180"/>
      <c r="G1" s="180"/>
      <c r="H1" s="180"/>
      <c r="I1" s="28" t="str">
        <f>VLOOKUP($R$1,WLs!$A$4:$E$23,4,FALSE)</f>
        <v>M20</v>
      </c>
      <c r="J1" s="180" t="str">
        <f>VLOOKUP($R$1,WLs!$A$4:$E$23,5,FALSE)</f>
        <v>Matig grote diepe gebufferde meren</v>
      </c>
      <c r="K1" s="180"/>
      <c r="L1" s="180"/>
      <c r="M1" s="180"/>
      <c r="N1" s="180"/>
      <c r="O1" s="7"/>
      <c r="P1" s="173" t="s">
        <v>57</v>
      </c>
      <c r="Q1" s="173"/>
      <c r="R1" s="138">
        <v>20</v>
      </c>
      <c r="T1" s="6"/>
      <c r="U1" s="6" t="s">
        <v>58</v>
      </c>
      <c r="V1" s="6"/>
      <c r="W1" s="6"/>
      <c r="X1" s="6"/>
      <c r="Y1" s="6"/>
      <c r="Z1" s="6"/>
      <c r="AA1" s="6"/>
      <c r="AB1" s="6"/>
      <c r="AC1" s="6"/>
      <c r="AD1" s="6"/>
      <c r="AE1" s="6"/>
      <c r="AF1" s="6"/>
      <c r="AG1" s="6"/>
      <c r="AH1" s="6"/>
      <c r="AI1" s="6"/>
      <c r="AJ1" s="6"/>
      <c r="AK1" s="6"/>
      <c r="AM1" s="6" t="s">
        <v>59</v>
      </c>
      <c r="AN1" s="6"/>
      <c r="AO1" s="6"/>
      <c r="AP1" s="6"/>
      <c r="AQ1" s="6"/>
      <c r="AR1" s="6"/>
      <c r="AS1" s="6"/>
      <c r="AT1" s="6"/>
      <c r="AU1" s="6"/>
      <c r="AV1" s="6"/>
      <c r="AW1" s="6"/>
      <c r="AX1" s="6"/>
      <c r="AY1" s="6"/>
      <c r="AZ1" s="6"/>
      <c r="BB1" s="6"/>
      <c r="BC1" s="6"/>
      <c r="BE1" s="6" t="s">
        <v>60</v>
      </c>
      <c r="BF1" s="6"/>
      <c r="BG1" s="6"/>
      <c r="BH1" s="6"/>
      <c r="BI1" s="6"/>
      <c r="BJ1" s="6"/>
      <c r="BK1" s="6"/>
      <c r="BL1" s="6"/>
      <c r="BM1" s="6"/>
      <c r="BN1" s="6"/>
      <c r="BO1" s="6"/>
      <c r="BP1" s="6"/>
      <c r="BQ1" s="6"/>
      <c r="BR1" s="6"/>
      <c r="BT1" s="6"/>
      <c r="BU1" s="6"/>
      <c r="BW1" s="6" t="s">
        <v>61</v>
      </c>
      <c r="BZ1" s="6"/>
      <c r="CA1" s="6"/>
      <c r="CB1" s="6"/>
      <c r="CC1" s="6"/>
      <c r="CD1" s="6"/>
      <c r="CE1" s="6"/>
      <c r="CF1" s="6"/>
      <c r="CG1" s="6"/>
      <c r="CH1" s="6"/>
    </row>
    <row r="2" spans="1:91" ht="18" customHeight="1" x14ac:dyDescent="0.3">
      <c r="A2" s="179" t="s">
        <v>62</v>
      </c>
      <c r="B2" s="179"/>
      <c r="C2" s="179"/>
      <c r="D2" s="179"/>
      <c r="E2" s="179"/>
      <c r="F2" s="179"/>
      <c r="G2" s="179"/>
      <c r="H2" s="179"/>
      <c r="I2" s="179"/>
      <c r="J2" s="179"/>
      <c r="K2" s="179"/>
      <c r="L2" s="179"/>
      <c r="M2" s="179"/>
      <c r="N2" s="179"/>
      <c r="O2" s="7"/>
      <c r="P2" s="18" t="s">
        <v>63</v>
      </c>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B2" s="6"/>
      <c r="BC2" s="6"/>
      <c r="BD2" s="6"/>
      <c r="BE2" s="6"/>
      <c r="BF2" s="6"/>
      <c r="BG2" s="6"/>
      <c r="BH2" s="6"/>
      <c r="BI2" s="6"/>
      <c r="BJ2" s="6"/>
      <c r="BK2" s="6"/>
      <c r="BL2" s="6"/>
      <c r="BM2" s="6"/>
      <c r="BN2" s="6"/>
      <c r="BO2" s="6"/>
      <c r="BP2" s="6"/>
      <c r="BQ2" s="6"/>
      <c r="BR2" s="6"/>
      <c r="BT2" s="6"/>
      <c r="BU2" s="6"/>
      <c r="BV2" s="6"/>
      <c r="BW2" s="6"/>
      <c r="BX2" s="6"/>
      <c r="BY2" s="6"/>
      <c r="BZ2" s="6"/>
      <c r="CA2" s="6"/>
      <c r="CB2" s="6"/>
      <c r="CC2" s="6"/>
      <c r="CD2" s="6"/>
      <c r="CE2" s="6"/>
      <c r="CF2" s="6"/>
      <c r="CG2" s="6"/>
      <c r="CH2" s="6"/>
    </row>
    <row r="3" spans="1:91" ht="14.55" customHeight="1" x14ac:dyDescent="0.3">
      <c r="J3" s="58"/>
      <c r="K3" s="58"/>
      <c r="L3" s="58"/>
      <c r="M3" s="58"/>
      <c r="N3" s="58"/>
      <c r="T3" s="6"/>
      <c r="U3" s="6">
        <v>2012</v>
      </c>
      <c r="V3" s="6">
        <v>2013</v>
      </c>
      <c r="W3" s="6">
        <v>2014</v>
      </c>
      <c r="X3" s="6">
        <v>2015</v>
      </c>
      <c r="Y3" s="6">
        <v>2016</v>
      </c>
      <c r="Z3" s="6">
        <v>2017</v>
      </c>
      <c r="AA3" s="6">
        <v>2018</v>
      </c>
      <c r="AB3" s="6">
        <v>2019</v>
      </c>
      <c r="AC3" s="6">
        <v>2020</v>
      </c>
      <c r="AD3" s="6">
        <v>2021</v>
      </c>
      <c r="AE3" s="6">
        <v>2022</v>
      </c>
      <c r="AF3" s="6">
        <v>2023</v>
      </c>
      <c r="AG3" s="6">
        <v>2024</v>
      </c>
      <c r="AH3" s="6"/>
      <c r="AI3" s="6">
        <v>2027</v>
      </c>
      <c r="AJ3" s="6">
        <v>2033</v>
      </c>
      <c r="AK3" s="6"/>
      <c r="AL3" s="6"/>
      <c r="AM3" s="6">
        <v>2012</v>
      </c>
      <c r="AN3" s="6">
        <v>2013</v>
      </c>
      <c r="AO3" s="6">
        <v>2014</v>
      </c>
      <c r="AP3" s="6">
        <v>2015</v>
      </c>
      <c r="AQ3" s="6">
        <v>2016</v>
      </c>
      <c r="AR3" s="6">
        <v>2017</v>
      </c>
      <c r="AS3" s="6">
        <v>2018</v>
      </c>
      <c r="AT3" s="6">
        <v>2019</v>
      </c>
      <c r="AU3" s="6">
        <v>2020</v>
      </c>
      <c r="AV3" s="6">
        <v>2021</v>
      </c>
      <c r="AW3" s="6">
        <v>2022</v>
      </c>
      <c r="AX3" s="6">
        <v>2023</v>
      </c>
      <c r="AY3" s="6">
        <v>2024</v>
      </c>
      <c r="AZ3" s="6"/>
      <c r="BA3" s="6">
        <v>2027</v>
      </c>
      <c r="BB3" s="6">
        <v>2033</v>
      </c>
      <c r="BC3" s="6"/>
      <c r="BD3" s="6"/>
      <c r="BE3" s="6">
        <v>2012</v>
      </c>
      <c r="BF3" s="6">
        <v>2013</v>
      </c>
      <c r="BG3" s="6">
        <v>2014</v>
      </c>
      <c r="BH3" s="6">
        <v>2015</v>
      </c>
      <c r="BI3" s="6">
        <v>2016</v>
      </c>
      <c r="BJ3" s="6">
        <v>2017</v>
      </c>
      <c r="BK3" s="6">
        <v>2018</v>
      </c>
      <c r="BL3" s="6">
        <v>2019</v>
      </c>
      <c r="BM3" s="6">
        <v>2020</v>
      </c>
      <c r="BN3" s="6">
        <v>2021</v>
      </c>
      <c r="BO3" s="6">
        <v>2022</v>
      </c>
      <c r="BP3" s="6">
        <v>2023</v>
      </c>
      <c r="BQ3" s="6">
        <v>2024</v>
      </c>
      <c r="BR3" s="6"/>
      <c r="BS3" s="6">
        <v>2027</v>
      </c>
      <c r="BT3" s="6">
        <v>2033</v>
      </c>
      <c r="BU3" s="6"/>
      <c r="BV3" s="6"/>
      <c r="BW3" s="6">
        <v>2012</v>
      </c>
      <c r="BX3" s="6">
        <v>2013</v>
      </c>
      <c r="BY3" s="6">
        <v>2014</v>
      </c>
      <c r="BZ3" s="6">
        <v>2015</v>
      </c>
      <c r="CA3" s="6">
        <v>2016</v>
      </c>
      <c r="CB3" s="6">
        <v>2017</v>
      </c>
      <c r="CC3" s="6">
        <v>2018</v>
      </c>
      <c r="CD3" s="6">
        <v>2019</v>
      </c>
      <c r="CE3" s="6">
        <v>2020</v>
      </c>
      <c r="CF3" s="6">
        <v>2021</v>
      </c>
      <c r="CG3" s="6">
        <v>2022</v>
      </c>
      <c r="CH3" s="6">
        <v>2023</v>
      </c>
      <c r="CI3" s="6">
        <v>2024</v>
      </c>
      <c r="CJ3" s="6"/>
      <c r="CK3" s="6">
        <v>2027</v>
      </c>
      <c r="CL3" s="6">
        <v>2033</v>
      </c>
      <c r="CM3" s="6"/>
    </row>
    <row r="4" spans="1:91" ht="14.55" customHeight="1" x14ac:dyDescent="0.3">
      <c r="J4" s="58"/>
      <c r="K4" s="58"/>
      <c r="L4" s="58"/>
      <c r="M4" s="58"/>
      <c r="N4" s="58"/>
      <c r="T4" s="6" t="s">
        <v>64</v>
      </c>
      <c r="U4" s="6" t="str">
        <f t="shared" ref="U4:AG4" si="0">IF(U14=0,"",U14)</f>
        <v/>
      </c>
      <c r="V4" s="6" t="str">
        <f t="shared" si="0"/>
        <v/>
      </c>
      <c r="W4" s="6">
        <f t="shared" si="0"/>
        <v>0.78900000000000003</v>
      </c>
      <c r="X4" s="6" t="str">
        <f t="shared" si="0"/>
        <v/>
      </c>
      <c r="Y4" s="6" t="str">
        <f t="shared" si="0"/>
        <v/>
      </c>
      <c r="Z4" s="6">
        <f t="shared" si="0"/>
        <v>0.72</v>
      </c>
      <c r="AA4" s="6" t="str">
        <f t="shared" si="0"/>
        <v/>
      </c>
      <c r="AB4" s="6" t="str">
        <f t="shared" si="0"/>
        <v/>
      </c>
      <c r="AC4" s="6">
        <f t="shared" si="0"/>
        <v>0.92700000000000005</v>
      </c>
      <c r="AD4" s="6" t="str">
        <f t="shared" si="0"/>
        <v/>
      </c>
      <c r="AE4" s="6" t="str">
        <f t="shared" si="0"/>
        <v/>
      </c>
      <c r="AF4" s="6">
        <f t="shared" si="0"/>
        <v>0.68</v>
      </c>
      <c r="AG4" s="6" t="str">
        <f t="shared" si="0"/>
        <v/>
      </c>
      <c r="AH4" s="6"/>
      <c r="AJ4" s="6"/>
      <c r="AK4" s="6"/>
      <c r="AL4" s="6"/>
      <c r="AM4" s="25" t="str">
        <f t="shared" ref="AM4:AY4" si="1">IF(AM14=0,"",AM14)</f>
        <v/>
      </c>
      <c r="AN4" s="25" t="str">
        <f t="shared" si="1"/>
        <v/>
      </c>
      <c r="AO4" s="25">
        <f t="shared" si="1"/>
        <v>0.57999999999999996</v>
      </c>
      <c r="AP4" s="25" t="str">
        <f t="shared" si="1"/>
        <v/>
      </c>
      <c r="AQ4" s="25" t="str">
        <f t="shared" si="1"/>
        <v/>
      </c>
      <c r="AR4" s="25">
        <f t="shared" si="1"/>
        <v>0.45300000000000001</v>
      </c>
      <c r="AS4" s="25" t="str">
        <f t="shared" si="1"/>
        <v/>
      </c>
      <c r="AT4" s="25" t="str">
        <f t="shared" si="1"/>
        <v/>
      </c>
      <c r="AU4" s="25">
        <f t="shared" si="1"/>
        <v>0.432</v>
      </c>
      <c r="AV4" s="25" t="str">
        <f t="shared" si="1"/>
        <v/>
      </c>
      <c r="AW4" s="25" t="str">
        <f t="shared" si="1"/>
        <v/>
      </c>
      <c r="AX4" s="25">
        <f t="shared" si="1"/>
        <v>0.43</v>
      </c>
      <c r="AY4" s="25" t="str">
        <f t="shared" si="1"/>
        <v/>
      </c>
      <c r="AZ4" s="6"/>
      <c r="BB4" s="6"/>
      <c r="BC4" s="6"/>
      <c r="BD4" s="6"/>
      <c r="BE4" s="6" t="str">
        <f t="shared" ref="BE4:BQ4" si="2">IF(BE14=0,"",BE14)</f>
        <v/>
      </c>
      <c r="BF4" s="6" t="str">
        <f t="shared" si="2"/>
        <v/>
      </c>
      <c r="BG4" s="6">
        <f t="shared" si="2"/>
        <v>0.37749999999999995</v>
      </c>
      <c r="BH4" s="6" t="str">
        <f t="shared" si="2"/>
        <v/>
      </c>
      <c r="BI4" s="6" t="str">
        <f t="shared" si="2"/>
        <v/>
      </c>
      <c r="BJ4" s="6">
        <f t="shared" si="2"/>
        <v>0.48350000000000004</v>
      </c>
      <c r="BK4" s="6" t="str">
        <f t="shared" si="2"/>
        <v/>
      </c>
      <c r="BL4" s="6" t="str">
        <f t="shared" si="2"/>
        <v/>
      </c>
      <c r="BM4" s="6">
        <f t="shared" si="2"/>
        <v>0.47249999999999998</v>
      </c>
      <c r="BN4" s="6" t="str">
        <f t="shared" si="2"/>
        <v/>
      </c>
      <c r="BO4" s="6" t="str">
        <f t="shared" si="2"/>
        <v/>
      </c>
      <c r="BP4" s="6">
        <f t="shared" si="2"/>
        <v>0.44800000000000006</v>
      </c>
      <c r="BQ4" s="6" t="str">
        <f t="shared" si="2"/>
        <v/>
      </c>
      <c r="BR4" s="6"/>
      <c r="BT4" s="6"/>
      <c r="BU4" s="6"/>
      <c r="BV4" s="6"/>
      <c r="BW4" s="6" t="str">
        <f t="shared" ref="BW4:CI4" si="3">IF(BW14=0,"",BW14)</f>
        <v/>
      </c>
      <c r="BX4" s="6">
        <f t="shared" si="3"/>
        <v>0.44400000000000001</v>
      </c>
      <c r="BY4" s="6" t="str">
        <f t="shared" si="3"/>
        <v/>
      </c>
      <c r="BZ4" s="6" t="str">
        <f t="shared" si="3"/>
        <v/>
      </c>
      <c r="CA4" s="6" t="str">
        <f t="shared" si="3"/>
        <v/>
      </c>
      <c r="CB4" s="6" t="str">
        <f t="shared" si="3"/>
        <v/>
      </c>
      <c r="CC4" s="6" t="str">
        <f t="shared" si="3"/>
        <v/>
      </c>
      <c r="CD4" s="6">
        <f t="shared" si="3"/>
        <v>0.627</v>
      </c>
      <c r="CE4" s="6" t="str">
        <f t="shared" si="3"/>
        <v/>
      </c>
      <c r="CF4" s="6" t="str">
        <f t="shared" si="3"/>
        <v/>
      </c>
      <c r="CG4" s="6" t="str">
        <f t="shared" si="3"/>
        <v/>
      </c>
      <c r="CH4" s="6" t="str">
        <f t="shared" si="3"/>
        <v/>
      </c>
      <c r="CI4" s="6" t="str">
        <f t="shared" si="3"/>
        <v/>
      </c>
      <c r="CJ4" s="6"/>
      <c r="CL4" s="6"/>
      <c r="CM4" s="6"/>
    </row>
    <row r="5" spans="1:91" ht="14.55" customHeight="1" x14ac:dyDescent="0.3">
      <c r="J5" s="58"/>
      <c r="K5" s="58"/>
      <c r="L5" s="58"/>
      <c r="M5" s="58"/>
      <c r="N5" s="58"/>
      <c r="T5" s="6" t="s">
        <v>65</v>
      </c>
      <c r="U5" s="6"/>
      <c r="V5" s="6"/>
      <c r="W5" s="6"/>
      <c r="X5" s="6"/>
      <c r="Y5" s="6"/>
      <c r="Z5" s="6"/>
      <c r="AA5" s="6">
        <f>VLOOKUP($R$1,Fytoplankton!$A$4:$U$23,21,FALSE)</f>
        <v>0.75449999999999995</v>
      </c>
      <c r="AB5" s="6"/>
      <c r="AC5" s="6"/>
      <c r="AD5" s="6"/>
      <c r="AE5" s="6"/>
      <c r="AF5" s="6"/>
      <c r="AG5" s="6">
        <f>VLOOKUP($R$1,Fytoplankton!$A$4:$AB$23,28,FALSE)</f>
        <v>0.80349999999999999</v>
      </c>
      <c r="AH5" s="6"/>
      <c r="AJ5" s="6">
        <f>VLOOKUP($R$1,Fytoplankton!$A$4:$AB$23,24,FALSE)</f>
        <v>0.75</v>
      </c>
      <c r="AK5" s="6"/>
      <c r="AL5" s="6"/>
      <c r="AM5" s="6"/>
      <c r="AN5" s="6"/>
      <c r="AO5" s="6"/>
      <c r="AP5" s="6"/>
      <c r="AQ5" s="6"/>
      <c r="AR5" s="6"/>
      <c r="AS5" s="6">
        <f>VLOOKUP($R$1,Vegetatie!$A$4:$U$23,21,FALSE)</f>
        <v>0.51649999999999996</v>
      </c>
      <c r="AT5" s="6"/>
      <c r="AU5" s="6"/>
      <c r="AV5" s="6"/>
      <c r="AW5" s="6"/>
      <c r="AX5" s="6"/>
      <c r="AY5" s="6">
        <f>VLOOKUP($R$1,Vegetatie!$A$4:$AB$23,28,FALSE)</f>
        <v>0.43099999999999999</v>
      </c>
      <c r="AZ5" s="6"/>
      <c r="BB5" s="6">
        <f>VLOOKUP($R$1,Vegetatie!$A$4:$AB$23,24,FALSE)</f>
        <v>0.57000000000000006</v>
      </c>
      <c r="BC5" s="6"/>
      <c r="BD5" s="6"/>
      <c r="BE5" s="6"/>
      <c r="BF5" s="6"/>
      <c r="BG5" s="6"/>
      <c r="BH5" s="6"/>
      <c r="BI5" s="6"/>
      <c r="BJ5" s="6"/>
      <c r="BK5" s="6">
        <f>VLOOKUP($R$1,Macrofauna!$A$4:$U$23,21,FALSE)</f>
        <v>0.43049999999999999</v>
      </c>
      <c r="BL5" s="6"/>
      <c r="BM5" s="6"/>
      <c r="BN5" s="6"/>
      <c r="BO5" s="6"/>
      <c r="BP5" s="6"/>
      <c r="BQ5" s="6">
        <f>VLOOKUP($R$1,Macrofauna!$A$4:$AB$23,28,FALSE)</f>
        <v>0.46050000000000002</v>
      </c>
      <c r="BR5" s="6"/>
      <c r="BT5" s="6">
        <f>VLOOKUP($R$1,Macrofauna!$A$4:$AB$23,24,FALSE)</f>
        <v>0.45</v>
      </c>
      <c r="BU5" s="6"/>
      <c r="BV5" s="6"/>
      <c r="BW5" s="6"/>
      <c r="BX5" s="6"/>
      <c r="BY5" s="6"/>
      <c r="BZ5" s="6"/>
      <c r="CA5" s="6"/>
      <c r="CB5" s="6"/>
      <c r="CC5" s="6">
        <f>VLOOKUP($R$1,Vis!$A$4:$U$23,21,FALSE)</f>
        <v>0.44400000000000001</v>
      </c>
      <c r="CD5" s="6"/>
      <c r="CE5" s="6"/>
      <c r="CF5" s="6"/>
      <c r="CG5" s="6"/>
      <c r="CH5" s="6"/>
      <c r="CI5" s="6" t="str">
        <f>VLOOKUP($R$1,Vis!$A$4:$AB$23,28,FALSE)</f>
        <v>0,58
Gegevens 2025</v>
      </c>
      <c r="CJ5" s="6"/>
      <c r="CL5" s="6">
        <f>VLOOKUP($R$1,Vis!$A$4:$AB$23,24,FALSE)</f>
        <v>0.49</v>
      </c>
      <c r="CM5" s="6"/>
    </row>
    <row r="6" spans="1:91" ht="14.55" customHeight="1" x14ac:dyDescent="0.3">
      <c r="J6" s="58"/>
      <c r="K6" s="58"/>
      <c r="L6" s="58"/>
      <c r="M6" s="58"/>
      <c r="N6" s="58"/>
      <c r="T6" s="6" t="s">
        <v>66</v>
      </c>
      <c r="U6" s="6"/>
      <c r="V6" s="6"/>
      <c r="W6" s="6"/>
      <c r="X6" s="6"/>
      <c r="Y6" s="6"/>
      <c r="Z6" s="6"/>
      <c r="AA6" s="6"/>
      <c r="AB6" s="6"/>
      <c r="AC6" s="6"/>
      <c r="AD6" s="6"/>
      <c r="AE6" s="6">
        <f>VLOOKUP($R$1,Fytoplankton!$A$4:$AA$23,25,FALSE)</f>
        <v>0.83</v>
      </c>
      <c r="AF6" s="6"/>
      <c r="AH6" s="6"/>
      <c r="AI6" s="6">
        <f>VLOOKUP($R$1,Fytoplankton!$AZ$4:$BC$23,4,FALSE)</f>
        <v>0.83</v>
      </c>
      <c r="AK6" s="6"/>
      <c r="AL6" s="6"/>
      <c r="AM6" s="6"/>
      <c r="AN6" s="6"/>
      <c r="AO6" s="6"/>
      <c r="AP6" s="6"/>
      <c r="AQ6" s="6"/>
      <c r="AR6" s="6"/>
      <c r="AS6" s="6"/>
      <c r="AT6" s="6"/>
      <c r="AU6" s="6"/>
      <c r="AV6" s="6"/>
      <c r="AW6" s="6">
        <f>VLOOKUP($R$1,Vegetatie!$A$4:$AA$23,25,FALSE)</f>
        <v>0.48</v>
      </c>
      <c r="AX6" s="6"/>
      <c r="AZ6" s="6"/>
      <c r="BA6" s="6">
        <f>VLOOKUP($R$1,Vegetatie!$AZ$4:$BC$23,4,FALSE)</f>
        <v>0.55000000000000004</v>
      </c>
      <c r="BC6" s="6"/>
      <c r="BD6" s="6"/>
      <c r="BE6" s="6"/>
      <c r="BF6" s="6"/>
      <c r="BG6" s="6"/>
      <c r="BH6" s="6"/>
      <c r="BI6" s="6"/>
      <c r="BJ6" s="6"/>
      <c r="BK6" s="6"/>
      <c r="BL6" s="6"/>
      <c r="BM6" s="6"/>
      <c r="BN6" s="6"/>
      <c r="BO6" s="6">
        <f>VLOOKUP($R$1,Macrofauna!$A$4:$AA$23,25,FALSE)</f>
        <v>0.48</v>
      </c>
      <c r="BP6" s="6"/>
      <c r="BR6" s="6"/>
      <c r="BS6" s="6">
        <f>VLOOKUP($R$1,Macrofauna!$AZ$4:$BC$23,4,FALSE)</f>
        <v>0.48</v>
      </c>
      <c r="BU6" s="6"/>
      <c r="BV6" s="6"/>
      <c r="BW6" s="6"/>
      <c r="BX6" s="6"/>
      <c r="BY6" s="6"/>
      <c r="BZ6" s="6"/>
      <c r="CA6" s="6"/>
      <c r="CB6" s="6"/>
      <c r="CC6" s="6"/>
      <c r="CD6" s="6"/>
      <c r="CE6" s="6"/>
      <c r="CF6" s="6"/>
      <c r="CG6" s="6">
        <f>VLOOKUP($R$1,Vis!$A$4:$AA$23,25,FALSE)</f>
        <v>0.63</v>
      </c>
      <c r="CH6" s="6"/>
      <c r="CJ6" s="6"/>
      <c r="CK6" s="6">
        <f>VLOOKUP($R$1,Vis!$AZ$4:$BC$23,4,FALSE)</f>
        <v>0.63</v>
      </c>
      <c r="CM6" s="6"/>
    </row>
    <row r="7" spans="1:91" ht="14.55" customHeight="1" x14ac:dyDescent="0.3">
      <c r="J7" s="58"/>
      <c r="K7" s="58"/>
      <c r="L7" s="58"/>
      <c r="M7" s="58"/>
      <c r="N7" s="58"/>
      <c r="T7" s="6" t="s">
        <v>67</v>
      </c>
      <c r="U7" s="6"/>
      <c r="V7" s="6"/>
      <c r="W7" s="6"/>
      <c r="X7" s="6"/>
      <c r="Y7" s="6"/>
      <c r="Z7" s="6"/>
      <c r="AA7" s="6"/>
      <c r="AB7" s="6"/>
      <c r="AC7" s="6"/>
      <c r="AD7" s="6"/>
      <c r="AE7" s="6"/>
      <c r="AF7" s="6"/>
      <c r="AG7" s="6"/>
      <c r="AH7" s="6"/>
      <c r="AJ7" s="6">
        <f>VLOOKUP($R$1,Fytoplankton!$A$4:$AE$23,31,FALSE)</f>
        <v>0.6</v>
      </c>
      <c r="AK7" s="6"/>
      <c r="AL7" s="6"/>
      <c r="AM7" s="6"/>
      <c r="AN7" s="6"/>
      <c r="AO7" s="6"/>
      <c r="AP7" s="6"/>
      <c r="AQ7" s="6"/>
      <c r="AR7" s="6"/>
      <c r="AS7" s="6"/>
      <c r="AT7" s="6"/>
      <c r="AU7" s="6"/>
      <c r="AV7" s="6"/>
      <c r="AW7" s="6"/>
      <c r="AX7" s="6"/>
      <c r="AY7" s="6"/>
      <c r="AZ7" s="6"/>
      <c r="BB7" s="6">
        <f>VLOOKUP($R$1,Vegetatie!$A$4:$AE$23,31,FALSE)</f>
        <v>0.54</v>
      </c>
      <c r="BC7" s="6"/>
      <c r="BD7" s="6"/>
      <c r="BE7" s="6"/>
      <c r="BF7" s="6"/>
      <c r="BG7" s="6"/>
      <c r="BH7" s="6"/>
      <c r="BI7" s="6"/>
      <c r="BJ7" s="6"/>
      <c r="BK7" s="6"/>
      <c r="BL7" s="6"/>
      <c r="BM7" s="6"/>
      <c r="BN7" s="6"/>
      <c r="BO7" s="6"/>
      <c r="BP7" s="6"/>
      <c r="BQ7" s="6"/>
      <c r="BR7" s="6"/>
      <c r="BT7" s="6">
        <f>VLOOKUP($R$1,Macrofauna!$A$4:$AE$23,31,FALSE)</f>
        <v>0.42</v>
      </c>
      <c r="BU7" s="6"/>
      <c r="BV7" s="6"/>
      <c r="BW7" s="6"/>
      <c r="BX7" s="6"/>
      <c r="BY7" s="6"/>
      <c r="BZ7" s="6"/>
      <c r="CA7" s="6"/>
      <c r="CB7" s="6"/>
      <c r="CC7" s="6"/>
      <c r="CD7" s="6"/>
      <c r="CE7" s="6"/>
      <c r="CF7" s="6"/>
      <c r="CG7" s="6"/>
      <c r="CH7" s="6"/>
      <c r="CI7" s="6"/>
      <c r="CJ7" s="6"/>
      <c r="CL7" s="6">
        <f>VLOOKUP($R$1,Vis!$A$4:$AE$23,31,FALSE)</f>
        <v>0.5</v>
      </c>
      <c r="CM7" s="6"/>
    </row>
    <row r="8" spans="1:91" x14ac:dyDescent="0.3">
      <c r="T8" s="6" t="s">
        <v>68</v>
      </c>
      <c r="U8" s="6">
        <f>U12/3</f>
        <v>0.19999999999999998</v>
      </c>
      <c r="V8" s="6">
        <f t="shared" ref="V8:AG8" si="4">V12/3</f>
        <v>0.19999999999999998</v>
      </c>
      <c r="W8" s="6">
        <f t="shared" si="4"/>
        <v>0.19999999999999998</v>
      </c>
      <c r="X8" s="6">
        <f t="shared" si="4"/>
        <v>0.19999999999999998</v>
      </c>
      <c r="Y8" s="6">
        <f t="shared" si="4"/>
        <v>0.19999999999999998</v>
      </c>
      <c r="Z8" s="6">
        <f t="shared" si="4"/>
        <v>0.19999999999999998</v>
      </c>
      <c r="AA8" s="6">
        <f t="shared" si="4"/>
        <v>0.19999999999999998</v>
      </c>
      <c r="AB8" s="6">
        <f t="shared" si="4"/>
        <v>0.19999999999999998</v>
      </c>
      <c r="AC8" s="6">
        <f t="shared" si="4"/>
        <v>0.19999999999999998</v>
      </c>
      <c r="AD8" s="6">
        <f t="shared" si="4"/>
        <v>0.19999999999999998</v>
      </c>
      <c r="AE8" s="6">
        <f t="shared" si="4"/>
        <v>0.19999999999999998</v>
      </c>
      <c r="AF8" s="6">
        <f t="shared" si="4"/>
        <v>0.19999999999999998</v>
      </c>
      <c r="AG8" s="6">
        <f t="shared" si="4"/>
        <v>0.19999999999999998</v>
      </c>
      <c r="AH8" s="6">
        <f t="shared" ref="AH8" si="5">AH12/3</f>
        <v>0.19999999999999998</v>
      </c>
      <c r="AI8" s="6">
        <f t="shared" ref="AI8:AJ8" si="6">AI12/3</f>
        <v>0.19999999999999998</v>
      </c>
      <c r="AJ8" s="6">
        <f t="shared" si="6"/>
        <v>0.19999999999999998</v>
      </c>
      <c r="AK8" s="6"/>
      <c r="AL8" s="6"/>
      <c r="AM8" s="25">
        <f>AM12/3</f>
        <v>0.19999999999999998</v>
      </c>
      <c r="AN8" s="25">
        <f t="shared" ref="AN8:AY8" si="7">AN12/3</f>
        <v>0.19999999999999998</v>
      </c>
      <c r="AO8" s="25">
        <f t="shared" si="7"/>
        <v>0.19999999999999998</v>
      </c>
      <c r="AP8" s="25">
        <f t="shared" si="7"/>
        <v>0.19999999999999998</v>
      </c>
      <c r="AQ8" s="25">
        <f t="shared" si="7"/>
        <v>0.19999999999999998</v>
      </c>
      <c r="AR8" s="25">
        <f t="shared" si="7"/>
        <v>0.19999999999999998</v>
      </c>
      <c r="AS8" s="25">
        <f t="shared" si="7"/>
        <v>0.19999999999999998</v>
      </c>
      <c r="AT8" s="25">
        <f t="shared" si="7"/>
        <v>0.19999999999999998</v>
      </c>
      <c r="AU8" s="25">
        <f t="shared" si="7"/>
        <v>0.19999999999999998</v>
      </c>
      <c r="AV8" s="25">
        <f t="shared" si="7"/>
        <v>0.19999999999999998</v>
      </c>
      <c r="AW8" s="25">
        <f t="shared" si="7"/>
        <v>0.19999999999999998</v>
      </c>
      <c r="AX8" s="25">
        <f t="shared" si="7"/>
        <v>0.19999999999999998</v>
      </c>
      <c r="AY8" s="25">
        <f t="shared" si="7"/>
        <v>0.19999999999999998</v>
      </c>
      <c r="AZ8" s="25">
        <f t="shared" ref="AZ8" si="8">AZ12/3</f>
        <v>0.19999999999999998</v>
      </c>
      <c r="BA8" s="25">
        <f t="shared" ref="BA8:BB8" si="9">BA12/3</f>
        <v>0.19999999999999998</v>
      </c>
      <c r="BB8" s="25">
        <f t="shared" si="9"/>
        <v>0.19999999999999998</v>
      </c>
      <c r="BC8" s="6"/>
      <c r="BD8" s="6"/>
      <c r="BE8" s="6">
        <f>BE12/3</f>
        <v>0.16666666666666666</v>
      </c>
      <c r="BF8" s="6">
        <f>BF12/3</f>
        <v>0.16666666666666666</v>
      </c>
      <c r="BG8" s="6">
        <f>BG12/3</f>
        <v>0.16666666666666666</v>
      </c>
      <c r="BH8" s="6">
        <f>BH12/3</f>
        <v>0.16666666666666666</v>
      </c>
      <c r="BI8" s="6">
        <f t="shared" ref="BI8:BR8" si="10">BH8</f>
        <v>0.16666666666666666</v>
      </c>
      <c r="BJ8" s="6">
        <f t="shared" si="10"/>
        <v>0.16666666666666666</v>
      </c>
      <c r="BK8" s="6">
        <f t="shared" si="10"/>
        <v>0.16666666666666666</v>
      </c>
      <c r="BL8" s="6">
        <f t="shared" si="10"/>
        <v>0.16666666666666666</v>
      </c>
      <c r="BM8" s="6">
        <f t="shared" si="10"/>
        <v>0.16666666666666666</v>
      </c>
      <c r="BN8" s="6">
        <f t="shared" si="10"/>
        <v>0.16666666666666666</v>
      </c>
      <c r="BO8" s="6">
        <f t="shared" si="10"/>
        <v>0.16666666666666666</v>
      </c>
      <c r="BP8" s="6">
        <f t="shared" si="10"/>
        <v>0.16666666666666666</v>
      </c>
      <c r="BQ8" s="6">
        <f t="shared" si="10"/>
        <v>0.16666666666666666</v>
      </c>
      <c r="BR8" s="6">
        <f t="shared" si="10"/>
        <v>0.16666666666666666</v>
      </c>
      <c r="BS8" s="6">
        <f t="shared" ref="BS8:BS12" si="11">BR8</f>
        <v>0.16666666666666666</v>
      </c>
      <c r="BT8" s="6">
        <f t="shared" ref="BT8:BT12" si="12">BS8</f>
        <v>0.16666666666666666</v>
      </c>
      <c r="BU8" s="6"/>
      <c r="BV8" s="6"/>
      <c r="BW8" s="6">
        <f>BW12/3</f>
        <v>0.16666666666666666</v>
      </c>
      <c r="BX8" s="6">
        <f>BX12/3</f>
        <v>0.16666666666666666</v>
      </c>
      <c r="BY8" s="6">
        <f>BY12/3</f>
        <v>0.16666666666666666</v>
      </c>
      <c r="BZ8" s="6">
        <f>BZ12/3</f>
        <v>0.16666666666666666</v>
      </c>
      <c r="CA8" s="6">
        <f t="shared" ref="CA8:CI8" si="13">BZ8</f>
        <v>0.16666666666666666</v>
      </c>
      <c r="CB8" s="6">
        <f t="shared" si="13"/>
        <v>0.16666666666666666</v>
      </c>
      <c r="CC8" s="6">
        <f t="shared" si="13"/>
        <v>0.16666666666666666</v>
      </c>
      <c r="CD8" s="6">
        <f t="shared" si="13"/>
        <v>0.16666666666666666</v>
      </c>
      <c r="CE8" s="6">
        <f t="shared" si="13"/>
        <v>0.16666666666666666</v>
      </c>
      <c r="CF8" s="6">
        <f t="shared" si="13"/>
        <v>0.16666666666666666</v>
      </c>
      <c r="CG8" s="6">
        <f t="shared" si="13"/>
        <v>0.16666666666666666</v>
      </c>
      <c r="CH8" s="6">
        <f t="shared" si="13"/>
        <v>0.16666666666666666</v>
      </c>
      <c r="CI8" s="6">
        <f t="shared" si="13"/>
        <v>0.16666666666666666</v>
      </c>
      <c r="CJ8" s="6">
        <f t="shared" ref="CJ8:CJ12" si="14">CI8</f>
        <v>0.16666666666666666</v>
      </c>
      <c r="CK8" s="6">
        <f t="shared" ref="CK8:CK12" si="15">CJ8</f>
        <v>0.16666666666666666</v>
      </c>
      <c r="CL8" s="6">
        <f t="shared" ref="CL8:CL12" si="16">CK8</f>
        <v>0.16666666666666666</v>
      </c>
      <c r="CM8" s="6"/>
    </row>
    <row r="9" spans="1:91" x14ac:dyDescent="0.3">
      <c r="T9" s="6" t="s">
        <v>69</v>
      </c>
      <c r="U9" s="6">
        <f>U8</f>
        <v>0.19999999999999998</v>
      </c>
      <c r="V9" s="6">
        <f t="shared" ref="V9:AG10" si="17">V8</f>
        <v>0.19999999999999998</v>
      </c>
      <c r="W9" s="6">
        <f t="shared" si="17"/>
        <v>0.19999999999999998</v>
      </c>
      <c r="X9" s="6">
        <f t="shared" si="17"/>
        <v>0.19999999999999998</v>
      </c>
      <c r="Y9" s="6">
        <f t="shared" si="17"/>
        <v>0.19999999999999998</v>
      </c>
      <c r="Z9" s="6">
        <f t="shared" si="17"/>
        <v>0.19999999999999998</v>
      </c>
      <c r="AA9" s="6">
        <f t="shared" si="17"/>
        <v>0.19999999999999998</v>
      </c>
      <c r="AB9" s="6">
        <f t="shared" si="17"/>
        <v>0.19999999999999998</v>
      </c>
      <c r="AC9" s="6">
        <f t="shared" si="17"/>
        <v>0.19999999999999998</v>
      </c>
      <c r="AD9" s="6">
        <f t="shared" si="17"/>
        <v>0.19999999999999998</v>
      </c>
      <c r="AE9" s="6">
        <f t="shared" si="17"/>
        <v>0.19999999999999998</v>
      </c>
      <c r="AF9" s="6">
        <f t="shared" si="17"/>
        <v>0.19999999999999998</v>
      </c>
      <c r="AG9" s="6">
        <f t="shared" si="17"/>
        <v>0.19999999999999998</v>
      </c>
      <c r="AH9" s="6">
        <f t="shared" ref="AH9" si="18">AH8</f>
        <v>0.19999999999999998</v>
      </c>
      <c r="AI9" s="6">
        <f t="shared" ref="AI9:AJ9" si="19">AI8</f>
        <v>0.19999999999999998</v>
      </c>
      <c r="AJ9" s="6">
        <f t="shared" si="19"/>
        <v>0.19999999999999998</v>
      </c>
      <c r="AK9" s="6"/>
      <c r="AL9" s="6"/>
      <c r="AM9" s="25">
        <f>AM8</f>
        <v>0.19999999999999998</v>
      </c>
      <c r="AN9" s="25">
        <f t="shared" ref="AN9:AY10" si="20">AN8</f>
        <v>0.19999999999999998</v>
      </c>
      <c r="AO9" s="25">
        <f t="shared" si="20"/>
        <v>0.19999999999999998</v>
      </c>
      <c r="AP9" s="25">
        <f t="shared" si="20"/>
        <v>0.19999999999999998</v>
      </c>
      <c r="AQ9" s="25">
        <f t="shared" si="20"/>
        <v>0.19999999999999998</v>
      </c>
      <c r="AR9" s="25">
        <f t="shared" si="20"/>
        <v>0.19999999999999998</v>
      </c>
      <c r="AS9" s="25">
        <f t="shared" si="20"/>
        <v>0.19999999999999998</v>
      </c>
      <c r="AT9" s="25">
        <f t="shared" si="20"/>
        <v>0.19999999999999998</v>
      </c>
      <c r="AU9" s="25">
        <f t="shared" si="20"/>
        <v>0.19999999999999998</v>
      </c>
      <c r="AV9" s="25">
        <f t="shared" si="20"/>
        <v>0.19999999999999998</v>
      </c>
      <c r="AW9" s="25">
        <f t="shared" si="20"/>
        <v>0.19999999999999998</v>
      </c>
      <c r="AX9" s="25">
        <f t="shared" si="20"/>
        <v>0.19999999999999998</v>
      </c>
      <c r="AY9" s="25">
        <f t="shared" si="20"/>
        <v>0.19999999999999998</v>
      </c>
      <c r="AZ9" s="25">
        <f t="shared" ref="AZ9" si="21">AZ8</f>
        <v>0.19999999999999998</v>
      </c>
      <c r="BA9" s="25">
        <f t="shared" ref="BA9:BB9" si="22">BA8</f>
        <v>0.19999999999999998</v>
      </c>
      <c r="BB9" s="25">
        <f t="shared" si="22"/>
        <v>0.19999999999999998</v>
      </c>
      <c r="BC9" s="6"/>
      <c r="BD9" s="6"/>
      <c r="BE9" s="6">
        <f t="shared" ref="BE9:BH10" si="23">BE8</f>
        <v>0.16666666666666666</v>
      </c>
      <c r="BF9" s="6">
        <f t="shared" si="23"/>
        <v>0.16666666666666666</v>
      </c>
      <c r="BG9" s="6">
        <f t="shared" si="23"/>
        <v>0.16666666666666666</v>
      </c>
      <c r="BH9" s="6">
        <f t="shared" si="23"/>
        <v>0.16666666666666666</v>
      </c>
      <c r="BI9" s="6">
        <f t="shared" ref="BI9:BR9" si="24">BH9</f>
        <v>0.16666666666666666</v>
      </c>
      <c r="BJ9" s="6">
        <f t="shared" si="24"/>
        <v>0.16666666666666666</v>
      </c>
      <c r="BK9" s="6">
        <f t="shared" si="24"/>
        <v>0.16666666666666666</v>
      </c>
      <c r="BL9" s="6">
        <f t="shared" si="24"/>
        <v>0.16666666666666666</v>
      </c>
      <c r="BM9" s="6">
        <f t="shared" si="24"/>
        <v>0.16666666666666666</v>
      </c>
      <c r="BN9" s="6">
        <f t="shared" si="24"/>
        <v>0.16666666666666666</v>
      </c>
      <c r="BO9" s="6">
        <f t="shared" si="24"/>
        <v>0.16666666666666666</v>
      </c>
      <c r="BP9" s="6">
        <f t="shared" si="24"/>
        <v>0.16666666666666666</v>
      </c>
      <c r="BQ9" s="6">
        <f t="shared" si="24"/>
        <v>0.16666666666666666</v>
      </c>
      <c r="BR9" s="6">
        <f t="shared" si="24"/>
        <v>0.16666666666666666</v>
      </c>
      <c r="BS9" s="6">
        <f t="shared" si="11"/>
        <v>0.16666666666666666</v>
      </c>
      <c r="BT9" s="6">
        <f t="shared" si="12"/>
        <v>0.16666666666666666</v>
      </c>
      <c r="BU9" s="6"/>
      <c r="BV9" s="6"/>
      <c r="BW9" s="6">
        <f t="shared" ref="BW9:BZ10" si="25">BW8</f>
        <v>0.16666666666666666</v>
      </c>
      <c r="BX9" s="6">
        <f t="shared" si="25"/>
        <v>0.16666666666666666</v>
      </c>
      <c r="BY9" s="6">
        <f t="shared" si="25"/>
        <v>0.16666666666666666</v>
      </c>
      <c r="BZ9" s="6">
        <f t="shared" si="25"/>
        <v>0.16666666666666666</v>
      </c>
      <c r="CA9" s="6">
        <f t="shared" ref="CA9:CI9" si="26">BZ9</f>
        <v>0.16666666666666666</v>
      </c>
      <c r="CB9" s="6">
        <f t="shared" si="26"/>
        <v>0.16666666666666666</v>
      </c>
      <c r="CC9" s="6">
        <f t="shared" si="26"/>
        <v>0.16666666666666666</v>
      </c>
      <c r="CD9" s="6">
        <f t="shared" si="26"/>
        <v>0.16666666666666666</v>
      </c>
      <c r="CE9" s="6">
        <f t="shared" si="26"/>
        <v>0.16666666666666666</v>
      </c>
      <c r="CF9" s="6">
        <f t="shared" si="26"/>
        <v>0.16666666666666666</v>
      </c>
      <c r="CG9" s="6">
        <f t="shared" si="26"/>
        <v>0.16666666666666666</v>
      </c>
      <c r="CH9" s="6">
        <f t="shared" si="26"/>
        <v>0.16666666666666666</v>
      </c>
      <c r="CI9" s="6">
        <f t="shared" si="26"/>
        <v>0.16666666666666666</v>
      </c>
      <c r="CJ9" s="6">
        <f t="shared" si="14"/>
        <v>0.16666666666666666</v>
      </c>
      <c r="CK9" s="6">
        <f t="shared" si="15"/>
        <v>0.16666666666666666</v>
      </c>
      <c r="CL9" s="6">
        <f t="shared" si="16"/>
        <v>0.16666666666666666</v>
      </c>
      <c r="CM9" s="6"/>
    </row>
    <row r="10" spans="1:91" x14ac:dyDescent="0.3">
      <c r="T10" s="6" t="s">
        <v>70</v>
      </c>
      <c r="U10" s="6">
        <f>U9</f>
        <v>0.19999999999999998</v>
      </c>
      <c r="V10" s="6">
        <f t="shared" si="17"/>
        <v>0.19999999999999998</v>
      </c>
      <c r="W10" s="6">
        <f t="shared" si="17"/>
        <v>0.19999999999999998</v>
      </c>
      <c r="X10" s="6">
        <f t="shared" si="17"/>
        <v>0.19999999999999998</v>
      </c>
      <c r="Y10" s="6">
        <f t="shared" si="17"/>
        <v>0.19999999999999998</v>
      </c>
      <c r="Z10" s="6">
        <f t="shared" si="17"/>
        <v>0.19999999999999998</v>
      </c>
      <c r="AA10" s="6">
        <f t="shared" si="17"/>
        <v>0.19999999999999998</v>
      </c>
      <c r="AB10" s="6">
        <f t="shared" si="17"/>
        <v>0.19999999999999998</v>
      </c>
      <c r="AC10" s="6">
        <f t="shared" si="17"/>
        <v>0.19999999999999998</v>
      </c>
      <c r="AD10" s="6">
        <f t="shared" si="17"/>
        <v>0.19999999999999998</v>
      </c>
      <c r="AE10" s="6">
        <f t="shared" si="17"/>
        <v>0.19999999999999998</v>
      </c>
      <c r="AF10" s="6">
        <f t="shared" si="17"/>
        <v>0.19999999999999998</v>
      </c>
      <c r="AG10" s="6">
        <f t="shared" si="17"/>
        <v>0.19999999999999998</v>
      </c>
      <c r="AH10" s="6">
        <f t="shared" ref="AH10" si="27">AH9</f>
        <v>0.19999999999999998</v>
      </c>
      <c r="AI10" s="6">
        <f t="shared" ref="AI10:AJ10" si="28">AI9</f>
        <v>0.19999999999999998</v>
      </c>
      <c r="AJ10" s="6">
        <f t="shared" si="28"/>
        <v>0.19999999999999998</v>
      </c>
      <c r="AK10" s="6"/>
      <c r="AL10" s="6"/>
      <c r="AM10" s="25">
        <f>AM9</f>
        <v>0.19999999999999998</v>
      </c>
      <c r="AN10" s="25">
        <f t="shared" si="20"/>
        <v>0.19999999999999998</v>
      </c>
      <c r="AO10" s="25">
        <f t="shared" si="20"/>
        <v>0.19999999999999998</v>
      </c>
      <c r="AP10" s="25">
        <f t="shared" si="20"/>
        <v>0.19999999999999998</v>
      </c>
      <c r="AQ10" s="25">
        <f t="shared" si="20"/>
        <v>0.19999999999999998</v>
      </c>
      <c r="AR10" s="25">
        <f t="shared" si="20"/>
        <v>0.19999999999999998</v>
      </c>
      <c r="AS10" s="25">
        <f t="shared" si="20"/>
        <v>0.19999999999999998</v>
      </c>
      <c r="AT10" s="25">
        <f t="shared" si="20"/>
        <v>0.19999999999999998</v>
      </c>
      <c r="AU10" s="25">
        <f t="shared" si="20"/>
        <v>0.19999999999999998</v>
      </c>
      <c r="AV10" s="25">
        <f t="shared" si="20"/>
        <v>0.19999999999999998</v>
      </c>
      <c r="AW10" s="25">
        <f t="shared" si="20"/>
        <v>0.19999999999999998</v>
      </c>
      <c r="AX10" s="25">
        <f t="shared" si="20"/>
        <v>0.19999999999999998</v>
      </c>
      <c r="AY10" s="25">
        <f t="shared" si="20"/>
        <v>0.19999999999999998</v>
      </c>
      <c r="AZ10" s="25">
        <f t="shared" ref="AZ10" si="29">AZ9</f>
        <v>0.19999999999999998</v>
      </c>
      <c r="BA10" s="25">
        <f t="shared" ref="BA10:BB10" si="30">BA9</f>
        <v>0.19999999999999998</v>
      </c>
      <c r="BB10" s="25">
        <f t="shared" si="30"/>
        <v>0.19999999999999998</v>
      </c>
      <c r="BC10" s="6"/>
      <c r="BD10" s="6"/>
      <c r="BE10" s="6">
        <f t="shared" si="23"/>
        <v>0.16666666666666666</v>
      </c>
      <c r="BF10" s="6">
        <f t="shared" si="23"/>
        <v>0.16666666666666666</v>
      </c>
      <c r="BG10" s="6">
        <f t="shared" si="23"/>
        <v>0.16666666666666666</v>
      </c>
      <c r="BH10" s="6">
        <f t="shared" si="23"/>
        <v>0.16666666666666666</v>
      </c>
      <c r="BI10" s="6">
        <f t="shared" ref="BI10:BR10" si="31">BH10</f>
        <v>0.16666666666666666</v>
      </c>
      <c r="BJ10" s="6">
        <f t="shared" si="31"/>
        <v>0.16666666666666666</v>
      </c>
      <c r="BK10" s="6">
        <f t="shared" si="31"/>
        <v>0.16666666666666666</v>
      </c>
      <c r="BL10" s="6">
        <f t="shared" si="31"/>
        <v>0.16666666666666666</v>
      </c>
      <c r="BM10" s="6">
        <f t="shared" si="31"/>
        <v>0.16666666666666666</v>
      </c>
      <c r="BN10" s="6">
        <f t="shared" si="31"/>
        <v>0.16666666666666666</v>
      </c>
      <c r="BO10" s="6">
        <f t="shared" si="31"/>
        <v>0.16666666666666666</v>
      </c>
      <c r="BP10" s="6">
        <f t="shared" si="31"/>
        <v>0.16666666666666666</v>
      </c>
      <c r="BQ10" s="6">
        <f t="shared" si="31"/>
        <v>0.16666666666666666</v>
      </c>
      <c r="BR10" s="6">
        <f t="shared" si="31"/>
        <v>0.16666666666666666</v>
      </c>
      <c r="BS10" s="6">
        <f t="shared" si="11"/>
        <v>0.16666666666666666</v>
      </c>
      <c r="BT10" s="6">
        <f t="shared" si="12"/>
        <v>0.16666666666666666</v>
      </c>
      <c r="BU10" s="6"/>
      <c r="BV10" s="6"/>
      <c r="BW10" s="6">
        <f t="shared" si="25"/>
        <v>0.16666666666666666</v>
      </c>
      <c r="BX10" s="6">
        <f t="shared" si="25"/>
        <v>0.16666666666666666</v>
      </c>
      <c r="BY10" s="6">
        <f t="shared" si="25"/>
        <v>0.16666666666666666</v>
      </c>
      <c r="BZ10" s="6">
        <f t="shared" si="25"/>
        <v>0.16666666666666666</v>
      </c>
      <c r="CA10" s="6">
        <f t="shared" ref="CA10:CI10" si="32">BZ10</f>
        <v>0.16666666666666666</v>
      </c>
      <c r="CB10" s="6">
        <f t="shared" si="32"/>
        <v>0.16666666666666666</v>
      </c>
      <c r="CC10" s="6">
        <f t="shared" si="32"/>
        <v>0.16666666666666666</v>
      </c>
      <c r="CD10" s="6">
        <f t="shared" si="32"/>
        <v>0.16666666666666666</v>
      </c>
      <c r="CE10" s="6">
        <f t="shared" si="32"/>
        <v>0.16666666666666666</v>
      </c>
      <c r="CF10" s="6">
        <f t="shared" si="32"/>
        <v>0.16666666666666666</v>
      </c>
      <c r="CG10" s="6">
        <f t="shared" si="32"/>
        <v>0.16666666666666666</v>
      </c>
      <c r="CH10" s="6">
        <f t="shared" si="32"/>
        <v>0.16666666666666666</v>
      </c>
      <c r="CI10" s="6">
        <f t="shared" si="32"/>
        <v>0.16666666666666666</v>
      </c>
      <c r="CJ10" s="6">
        <f t="shared" si="14"/>
        <v>0.16666666666666666</v>
      </c>
      <c r="CK10" s="6">
        <f t="shared" si="15"/>
        <v>0.16666666666666666</v>
      </c>
      <c r="CL10" s="6">
        <f t="shared" si="16"/>
        <v>0.16666666666666666</v>
      </c>
      <c r="CM10" s="6"/>
    </row>
    <row r="11" spans="1:91" x14ac:dyDescent="0.3">
      <c r="T11" s="6" t="s">
        <v>71</v>
      </c>
      <c r="U11" s="6">
        <f>1-U12</f>
        <v>0.4</v>
      </c>
      <c r="V11" s="6">
        <f t="shared" ref="V11:AJ11" si="33">1-V12</f>
        <v>0.4</v>
      </c>
      <c r="W11" s="6">
        <f t="shared" si="33"/>
        <v>0.4</v>
      </c>
      <c r="X11" s="6">
        <f t="shared" si="33"/>
        <v>0.4</v>
      </c>
      <c r="Y11" s="6">
        <f t="shared" si="33"/>
        <v>0.4</v>
      </c>
      <c r="Z11" s="6">
        <f t="shared" si="33"/>
        <v>0.4</v>
      </c>
      <c r="AA11" s="6">
        <f t="shared" si="33"/>
        <v>0.4</v>
      </c>
      <c r="AB11" s="6">
        <f t="shared" si="33"/>
        <v>0.4</v>
      </c>
      <c r="AC11" s="6">
        <f t="shared" si="33"/>
        <v>0.4</v>
      </c>
      <c r="AD11" s="6">
        <f t="shared" si="33"/>
        <v>0.4</v>
      </c>
      <c r="AE11" s="6">
        <f t="shared" si="33"/>
        <v>0.4</v>
      </c>
      <c r="AF11" s="6">
        <f t="shared" si="33"/>
        <v>0.4</v>
      </c>
      <c r="AG11" s="6">
        <f t="shared" si="33"/>
        <v>0.4</v>
      </c>
      <c r="AH11" s="6">
        <f t="shared" si="33"/>
        <v>0.4</v>
      </c>
      <c r="AI11" s="6">
        <f t="shared" si="33"/>
        <v>0.4</v>
      </c>
      <c r="AJ11" s="6">
        <f t="shared" si="33"/>
        <v>0.4</v>
      </c>
      <c r="AK11" s="6"/>
      <c r="AL11" s="6"/>
      <c r="AM11" s="25">
        <f>1-AM12</f>
        <v>0.4</v>
      </c>
      <c r="AN11" s="25">
        <f t="shared" ref="AN11:BB11" si="34">1-AN12</f>
        <v>0.4</v>
      </c>
      <c r="AO11" s="25">
        <f t="shared" si="34"/>
        <v>0.4</v>
      </c>
      <c r="AP11" s="25">
        <f t="shared" si="34"/>
        <v>0.4</v>
      </c>
      <c r="AQ11" s="25">
        <f t="shared" si="34"/>
        <v>0.4</v>
      </c>
      <c r="AR11" s="25">
        <f t="shared" si="34"/>
        <v>0.4</v>
      </c>
      <c r="AS11" s="25">
        <f t="shared" si="34"/>
        <v>0.4</v>
      </c>
      <c r="AT11" s="25">
        <f t="shared" si="34"/>
        <v>0.4</v>
      </c>
      <c r="AU11" s="25">
        <f t="shared" si="34"/>
        <v>0.4</v>
      </c>
      <c r="AV11" s="25">
        <f t="shared" si="34"/>
        <v>0.4</v>
      </c>
      <c r="AW11" s="25">
        <f t="shared" si="34"/>
        <v>0.4</v>
      </c>
      <c r="AX11" s="25">
        <f t="shared" si="34"/>
        <v>0.4</v>
      </c>
      <c r="AY11" s="25">
        <f t="shared" si="34"/>
        <v>0.4</v>
      </c>
      <c r="AZ11" s="25">
        <f t="shared" si="34"/>
        <v>0.4</v>
      </c>
      <c r="BA11" s="25">
        <f t="shared" si="34"/>
        <v>0.4</v>
      </c>
      <c r="BB11" s="25">
        <f t="shared" si="34"/>
        <v>0.4</v>
      </c>
      <c r="BC11" s="6"/>
      <c r="BD11" s="6"/>
      <c r="BE11" s="6">
        <f>1-BE12</f>
        <v>0.5</v>
      </c>
      <c r="BF11" s="6">
        <f>1-BF12</f>
        <v>0.5</v>
      </c>
      <c r="BG11" s="6">
        <f>1-BG12</f>
        <v>0.5</v>
      </c>
      <c r="BH11" s="6">
        <f>1-BH12</f>
        <v>0.5</v>
      </c>
      <c r="BI11" s="6">
        <f t="shared" ref="BI11:BR12" si="35">BH11</f>
        <v>0.5</v>
      </c>
      <c r="BJ11" s="6">
        <f t="shared" si="35"/>
        <v>0.5</v>
      </c>
      <c r="BK11" s="6">
        <f t="shared" si="35"/>
        <v>0.5</v>
      </c>
      <c r="BL11" s="6">
        <f t="shared" si="35"/>
        <v>0.5</v>
      </c>
      <c r="BM11" s="6">
        <f t="shared" si="35"/>
        <v>0.5</v>
      </c>
      <c r="BN11" s="6">
        <f t="shared" si="35"/>
        <v>0.5</v>
      </c>
      <c r="BO11" s="6">
        <f t="shared" si="35"/>
        <v>0.5</v>
      </c>
      <c r="BP11" s="6">
        <f t="shared" si="35"/>
        <v>0.5</v>
      </c>
      <c r="BQ11" s="6">
        <f t="shared" si="35"/>
        <v>0.5</v>
      </c>
      <c r="BR11" s="6">
        <f t="shared" si="35"/>
        <v>0.5</v>
      </c>
      <c r="BS11" s="6">
        <f t="shared" si="11"/>
        <v>0.5</v>
      </c>
      <c r="BT11" s="6">
        <f t="shared" si="12"/>
        <v>0.5</v>
      </c>
      <c r="BU11" s="6"/>
      <c r="BV11" s="6"/>
      <c r="BW11" s="6">
        <f>1-BW12</f>
        <v>0.5</v>
      </c>
      <c r="BX11" s="6">
        <f>1-BX12</f>
        <v>0.5</v>
      </c>
      <c r="BY11" s="6">
        <f>1-BY12</f>
        <v>0.5</v>
      </c>
      <c r="BZ11" s="6">
        <f>1-BZ12</f>
        <v>0.5</v>
      </c>
      <c r="CA11" s="6">
        <f t="shared" ref="CA11:CI12" si="36">BZ11</f>
        <v>0.5</v>
      </c>
      <c r="CB11" s="6">
        <f t="shared" si="36"/>
        <v>0.5</v>
      </c>
      <c r="CC11" s="6">
        <f t="shared" si="36"/>
        <v>0.5</v>
      </c>
      <c r="CD11" s="6">
        <f t="shared" si="36"/>
        <v>0.5</v>
      </c>
      <c r="CE11" s="6">
        <f t="shared" si="36"/>
        <v>0.5</v>
      </c>
      <c r="CF11" s="6">
        <f t="shared" si="36"/>
        <v>0.5</v>
      </c>
      <c r="CG11" s="6">
        <f t="shared" si="36"/>
        <v>0.5</v>
      </c>
      <c r="CH11" s="6">
        <f t="shared" si="36"/>
        <v>0.5</v>
      </c>
      <c r="CI11" s="6">
        <f t="shared" si="36"/>
        <v>0.5</v>
      </c>
      <c r="CJ11" s="6">
        <f t="shared" si="14"/>
        <v>0.5</v>
      </c>
      <c r="CK11" s="6">
        <f t="shared" si="15"/>
        <v>0.5</v>
      </c>
      <c r="CL11" s="6">
        <f t="shared" si="16"/>
        <v>0.5</v>
      </c>
      <c r="CM11" s="6"/>
    </row>
    <row r="12" spans="1:91" x14ac:dyDescent="0.3">
      <c r="T12" s="6" t="s">
        <v>72</v>
      </c>
      <c r="U12" s="6">
        <f>VLOOKUP($R$1,WLs!$A$4:$J$23,7,FALSE)</f>
        <v>0.6</v>
      </c>
      <c r="V12" s="6">
        <f>VLOOKUP($R$1,WLs!$A$4:$J$23,7,FALSE)</f>
        <v>0.6</v>
      </c>
      <c r="W12" s="6">
        <f>VLOOKUP($R$1,WLs!$A$4:$J$23,7,FALSE)</f>
        <v>0.6</v>
      </c>
      <c r="X12" s="6">
        <f>VLOOKUP($R$1,WLs!$A$4:$J$23,7,FALSE)</f>
        <v>0.6</v>
      </c>
      <c r="Y12" s="6">
        <f>VLOOKUP($R$1,WLs!$A$4:$J$23,7,FALSE)</f>
        <v>0.6</v>
      </c>
      <c r="Z12" s="6">
        <f>VLOOKUP($R$1,WLs!$A$4:$J$23,7,FALSE)</f>
        <v>0.6</v>
      </c>
      <c r="AA12" s="6">
        <f>VLOOKUP($R$1,WLs!$A$4:$J$23,7,FALSE)</f>
        <v>0.6</v>
      </c>
      <c r="AB12" s="6">
        <f>VLOOKUP($R$1,WLs!$A$4:$J$23,7,FALSE)</f>
        <v>0.6</v>
      </c>
      <c r="AC12" s="6">
        <f>VLOOKUP($R$1,WLs!$A$4:$J$23,7,FALSE)</f>
        <v>0.6</v>
      </c>
      <c r="AD12" s="6">
        <f>VLOOKUP($R$1,WLs!$A$4:$J$23,7,FALSE)</f>
        <v>0.6</v>
      </c>
      <c r="AE12" s="6">
        <f>VLOOKUP($R$1,WLs!$A$4:$J$23,7,FALSE)</f>
        <v>0.6</v>
      </c>
      <c r="AF12" s="6">
        <f>VLOOKUP($R$1,WLs!$A$4:$J$23,7,FALSE)</f>
        <v>0.6</v>
      </c>
      <c r="AG12" s="6">
        <f>VLOOKUP($R$1,WLs!$A$4:$J$23,7,FALSE)</f>
        <v>0.6</v>
      </c>
      <c r="AH12" s="6">
        <f>VLOOKUP($R$1,WLs!$A$4:$J$23,7,FALSE)</f>
        <v>0.6</v>
      </c>
      <c r="AI12" s="6">
        <f>VLOOKUP($R$1,WLs!$A$4:$J$23,7,FALSE)</f>
        <v>0.6</v>
      </c>
      <c r="AJ12" s="6">
        <f>VLOOKUP($R$1,WLs!$A$4:$J$23,7,FALSE)</f>
        <v>0.6</v>
      </c>
      <c r="AK12" s="6"/>
      <c r="AL12" s="6"/>
      <c r="AM12" s="25">
        <f>VLOOKUP($R$1,WLs!$A$4:$J$23,8,FALSE)</f>
        <v>0.6</v>
      </c>
      <c r="AN12" s="25">
        <f>VLOOKUP($R$1,WLs!$A$4:$J$23,8,FALSE)</f>
        <v>0.6</v>
      </c>
      <c r="AO12" s="25">
        <f>VLOOKUP($R$1,WLs!$A$4:$J$23,8,FALSE)</f>
        <v>0.6</v>
      </c>
      <c r="AP12" s="25">
        <f>VLOOKUP($R$1,WLs!$A$4:$J$23,8,FALSE)</f>
        <v>0.6</v>
      </c>
      <c r="AQ12" s="25">
        <f>VLOOKUP($R$1,WLs!$A$4:$J$23,8,FALSE)</f>
        <v>0.6</v>
      </c>
      <c r="AR12" s="25">
        <f>VLOOKUP($R$1,WLs!$A$4:$J$23,8,FALSE)</f>
        <v>0.6</v>
      </c>
      <c r="AS12" s="25">
        <f>VLOOKUP($R$1,WLs!$A$4:$J$23,8,FALSE)</f>
        <v>0.6</v>
      </c>
      <c r="AT12" s="25">
        <f>VLOOKUP($R$1,WLs!$A$4:$J$23,8,FALSE)</f>
        <v>0.6</v>
      </c>
      <c r="AU12" s="25">
        <f>VLOOKUP($R$1,WLs!$A$4:$J$23,8,FALSE)</f>
        <v>0.6</v>
      </c>
      <c r="AV12" s="25">
        <f>VLOOKUP($R$1,WLs!$A$4:$J$23,8,FALSE)</f>
        <v>0.6</v>
      </c>
      <c r="AW12" s="25">
        <f>VLOOKUP($R$1,WLs!$A$4:$J$23,8,FALSE)</f>
        <v>0.6</v>
      </c>
      <c r="AX12" s="25">
        <f>VLOOKUP($R$1,WLs!$A$4:$J$23,8,FALSE)</f>
        <v>0.6</v>
      </c>
      <c r="AY12" s="25">
        <f>VLOOKUP($R$1,WLs!$A$4:$J$23,8,FALSE)</f>
        <v>0.6</v>
      </c>
      <c r="AZ12" s="25">
        <f>VLOOKUP($R$1,WLs!$A$4:$J$23,8,FALSE)</f>
        <v>0.6</v>
      </c>
      <c r="BA12" s="25">
        <f>VLOOKUP($R$1,WLs!$A$4:$J$23,8,FALSE)</f>
        <v>0.6</v>
      </c>
      <c r="BB12" s="25">
        <f>VLOOKUP($R$1,WLs!$A$4:$J$23,8,FALSE)</f>
        <v>0.6</v>
      </c>
      <c r="BC12" s="6"/>
      <c r="BD12" s="6"/>
      <c r="BE12" s="6">
        <f>VLOOKUP($R$1,WLs!$A$4:$J$23,9,FALSE)</f>
        <v>0.5</v>
      </c>
      <c r="BF12" s="6">
        <f>VLOOKUP($R$1,WLs!$A$4:$J$23,9,FALSE)</f>
        <v>0.5</v>
      </c>
      <c r="BG12" s="6">
        <f>VLOOKUP($R$1,WLs!$A$4:$J$23,9,FALSE)</f>
        <v>0.5</v>
      </c>
      <c r="BH12" s="6">
        <f>VLOOKUP($R$1,WLs!$A$4:$J$23,9,FALSE)</f>
        <v>0.5</v>
      </c>
      <c r="BI12" s="6">
        <f>BH12</f>
        <v>0.5</v>
      </c>
      <c r="BJ12" s="6">
        <f t="shared" si="35"/>
        <v>0.5</v>
      </c>
      <c r="BK12" s="6">
        <f t="shared" si="35"/>
        <v>0.5</v>
      </c>
      <c r="BL12" s="6">
        <f t="shared" si="35"/>
        <v>0.5</v>
      </c>
      <c r="BM12" s="6">
        <f t="shared" si="35"/>
        <v>0.5</v>
      </c>
      <c r="BN12" s="6">
        <f t="shared" si="35"/>
        <v>0.5</v>
      </c>
      <c r="BO12" s="6">
        <f t="shared" si="35"/>
        <v>0.5</v>
      </c>
      <c r="BP12" s="6">
        <f t="shared" si="35"/>
        <v>0.5</v>
      </c>
      <c r="BQ12" s="6">
        <f t="shared" si="35"/>
        <v>0.5</v>
      </c>
      <c r="BR12" s="6">
        <f t="shared" si="35"/>
        <v>0.5</v>
      </c>
      <c r="BS12" s="6">
        <f t="shared" si="11"/>
        <v>0.5</v>
      </c>
      <c r="BT12" s="6">
        <f t="shared" si="12"/>
        <v>0.5</v>
      </c>
      <c r="BU12" s="6"/>
      <c r="BV12" s="6"/>
      <c r="BW12" s="6">
        <f>VLOOKUP($R$1,WLs!$A$4:$J$23,10,FALSE)</f>
        <v>0.5</v>
      </c>
      <c r="BX12" s="6">
        <f>VLOOKUP($R$1,WLs!$A$4:$J$23,10,FALSE)</f>
        <v>0.5</v>
      </c>
      <c r="BY12" s="6">
        <f>VLOOKUP($R$1,WLs!$A$4:$J$23,10,FALSE)</f>
        <v>0.5</v>
      </c>
      <c r="BZ12" s="6">
        <f>VLOOKUP($R$1,WLs!$A$4:$J$23,10,FALSE)</f>
        <v>0.5</v>
      </c>
      <c r="CA12" s="6">
        <f>BZ12</f>
        <v>0.5</v>
      </c>
      <c r="CB12" s="6">
        <f t="shared" si="36"/>
        <v>0.5</v>
      </c>
      <c r="CC12" s="6">
        <f t="shared" si="36"/>
        <v>0.5</v>
      </c>
      <c r="CD12" s="6">
        <f t="shared" si="36"/>
        <v>0.5</v>
      </c>
      <c r="CE12" s="6">
        <f t="shared" si="36"/>
        <v>0.5</v>
      </c>
      <c r="CF12" s="6">
        <f t="shared" si="36"/>
        <v>0.5</v>
      </c>
      <c r="CG12" s="6">
        <f t="shared" si="36"/>
        <v>0.5</v>
      </c>
      <c r="CH12" s="6">
        <f t="shared" si="36"/>
        <v>0.5</v>
      </c>
      <c r="CI12" s="6">
        <f t="shared" si="36"/>
        <v>0.5</v>
      </c>
      <c r="CJ12" s="6">
        <f t="shared" si="14"/>
        <v>0.5</v>
      </c>
      <c r="CK12" s="6">
        <f t="shared" si="15"/>
        <v>0.5</v>
      </c>
      <c r="CL12" s="6">
        <f t="shared" si="16"/>
        <v>0.5</v>
      </c>
      <c r="CM12" s="6"/>
    </row>
    <row r="13" spans="1:91" x14ac:dyDescent="0.3">
      <c r="T13" s="6"/>
      <c r="U13" s="6"/>
      <c r="V13" s="6"/>
      <c r="W13" s="6"/>
      <c r="X13" s="6"/>
      <c r="Y13" s="6"/>
      <c r="Z13" s="6"/>
      <c r="AA13" s="6"/>
      <c r="AB13" s="6"/>
      <c r="AC13" s="6"/>
      <c r="AD13" s="6"/>
      <c r="AE13" s="6"/>
      <c r="AF13" s="6"/>
      <c r="AG13" s="6"/>
      <c r="AH13" s="6"/>
      <c r="AJ13" s="6"/>
      <c r="AK13" s="6"/>
      <c r="AL13" s="6"/>
      <c r="AM13" s="25"/>
      <c r="AN13" s="25"/>
      <c r="AO13" s="25"/>
      <c r="AP13" s="25"/>
      <c r="AQ13" s="25"/>
      <c r="AR13" s="25"/>
      <c r="AS13" s="25"/>
      <c r="AT13" s="25"/>
      <c r="AU13" s="25"/>
      <c r="AV13" s="25"/>
      <c r="AW13" s="25"/>
      <c r="AX13" s="25"/>
      <c r="AY13" s="25"/>
      <c r="AZ13" s="6"/>
      <c r="BB13" s="6"/>
      <c r="BC13" s="6"/>
      <c r="BD13" s="6"/>
      <c r="BE13" s="6"/>
      <c r="BF13" s="6"/>
      <c r="BG13" s="6"/>
      <c r="BH13" s="6"/>
      <c r="BI13" s="6"/>
      <c r="BJ13" s="6"/>
      <c r="BK13" s="6"/>
      <c r="BL13" s="6"/>
      <c r="BM13" s="6"/>
      <c r="BN13" s="6"/>
      <c r="BO13" s="6"/>
      <c r="BP13" s="6"/>
      <c r="BQ13" s="6"/>
      <c r="BR13" s="6"/>
      <c r="BT13" s="6"/>
      <c r="BU13" s="6"/>
      <c r="BV13" s="6"/>
      <c r="BW13" s="6"/>
      <c r="BX13" s="6"/>
      <c r="BY13" s="6"/>
      <c r="BZ13" s="6"/>
      <c r="CA13" s="6"/>
      <c r="CB13" s="6"/>
      <c r="CC13" s="6"/>
      <c r="CD13" s="6"/>
      <c r="CE13" s="6"/>
      <c r="CF13" s="6"/>
      <c r="CG13" s="6"/>
      <c r="CH13" s="6"/>
      <c r="CI13" s="6"/>
      <c r="CJ13" s="6"/>
    </row>
    <row r="14" spans="1:91" x14ac:dyDescent="0.3">
      <c r="T14" s="6" t="s">
        <v>64</v>
      </c>
      <c r="U14" s="6">
        <f>VLOOKUP($R$1,Fytoplankton!$A$4:$O$23,U$15,FALSE)</f>
        <v>0</v>
      </c>
      <c r="V14" s="6">
        <f>VLOOKUP($R$1,Fytoplankton!$A$4:$O$23,V$15,FALSE)</f>
        <v>0</v>
      </c>
      <c r="W14" s="6">
        <f>VLOOKUP($R$1,Fytoplankton!$A$4:$O$23,W$15,FALSE)</f>
        <v>0.78900000000000003</v>
      </c>
      <c r="X14" s="6">
        <f>VLOOKUP($R$1,Fytoplankton!$A$4:$O$23,X$15,FALSE)</f>
        <v>0</v>
      </c>
      <c r="Y14" s="6">
        <f>VLOOKUP($R$1,Fytoplankton!$A$4:$O$23,Y$15,FALSE)</f>
        <v>0</v>
      </c>
      <c r="Z14" s="6">
        <f>VLOOKUP($R$1,Fytoplankton!$A$4:$O$23,Z$15,FALSE)</f>
        <v>0.72</v>
      </c>
      <c r="AA14" s="6">
        <f>VLOOKUP($R$1,Fytoplankton!$A$4:$O$23,AA$15,FALSE)</f>
        <v>0</v>
      </c>
      <c r="AB14" s="6">
        <f>VLOOKUP($R$1,Fytoplankton!$A$4:$O$23,AB$15,FALSE)</f>
        <v>0</v>
      </c>
      <c r="AC14" s="6">
        <f>VLOOKUP($R$1,Fytoplankton!$A$4:$O$23,AC$15,FALSE)</f>
        <v>0.92700000000000005</v>
      </c>
      <c r="AD14" s="6">
        <f>VLOOKUP($R$1,Fytoplankton!$A$4:$O$23,AD$15,FALSE)</f>
        <v>0</v>
      </c>
      <c r="AE14" s="6">
        <f>VLOOKUP($R$1,Fytoplankton!$A$4:$O$23,AE$15,FALSE)</f>
        <v>0</v>
      </c>
      <c r="AF14" s="6">
        <f>VLOOKUP($R$1,Fytoplankton!$A$4:$O$23,AF$15,FALSE)</f>
        <v>0.68</v>
      </c>
      <c r="AG14" s="6">
        <f>VLOOKUP($R$1,Fytoplankton!$A$4:$O$23,AG$15,FALSE)</f>
        <v>0</v>
      </c>
      <c r="AH14" s="6"/>
      <c r="AJ14" s="6"/>
      <c r="AK14" s="6"/>
      <c r="AL14" s="6"/>
      <c r="AM14" s="25">
        <f>VLOOKUP($R$1,Vegetatie!$A$4:$O$23,AM$15,FALSE)</f>
        <v>0</v>
      </c>
      <c r="AN14" s="25">
        <f>VLOOKUP($R$1,Vegetatie!$A$4:$O$23,AN$15,FALSE)</f>
        <v>0</v>
      </c>
      <c r="AO14" s="25">
        <f>VLOOKUP($R$1,Vegetatie!$A$4:$O$23,AO$15,FALSE)</f>
        <v>0.57999999999999996</v>
      </c>
      <c r="AP14" s="25">
        <f>VLOOKUP($R$1,Vegetatie!$A$4:$O$23,AP$15,FALSE)</f>
        <v>0</v>
      </c>
      <c r="AQ14" s="25">
        <f>VLOOKUP($R$1,Vegetatie!$A$4:$O$23,AQ$15,FALSE)</f>
        <v>0</v>
      </c>
      <c r="AR14" s="25">
        <f>VLOOKUP($R$1,Vegetatie!$A$4:$O$23,AR$15,FALSE)</f>
        <v>0.45300000000000001</v>
      </c>
      <c r="AS14" s="25">
        <f>VLOOKUP($R$1,Vegetatie!$A$4:$O$23,AS$15,FALSE)</f>
        <v>0</v>
      </c>
      <c r="AT14" s="25">
        <f>VLOOKUP($R$1,Vegetatie!$A$4:$O$23,AT$15,FALSE)</f>
        <v>0</v>
      </c>
      <c r="AU14" s="25">
        <f>VLOOKUP($R$1,Vegetatie!$A$4:$O$23,AU$15,FALSE)</f>
        <v>0.432</v>
      </c>
      <c r="AV14" s="25">
        <f>VLOOKUP($R$1,Vegetatie!$A$4:$O$23,AV$15,FALSE)</f>
        <v>0</v>
      </c>
      <c r="AW14" s="25">
        <f>VLOOKUP($R$1,Vegetatie!$A$4:$O$23,AW$15,FALSE)</f>
        <v>0</v>
      </c>
      <c r="AX14" s="25">
        <f>VLOOKUP($R$1,Vegetatie!$A$4:$O$23,AX$15,FALSE)</f>
        <v>0.43</v>
      </c>
      <c r="AY14" s="25">
        <f>VLOOKUP($R$1,Vegetatie!$A$4:$O$23,AY$15,FALSE)</f>
        <v>0</v>
      </c>
      <c r="AZ14" s="6"/>
      <c r="BB14" s="6"/>
      <c r="BC14" s="6"/>
      <c r="BD14" s="6"/>
      <c r="BE14" s="6">
        <f>VLOOKUP($R$1,Macrofauna!$A$4:$O$23,BE$15,FALSE)</f>
        <v>0</v>
      </c>
      <c r="BF14" s="6">
        <f>VLOOKUP($R$1,Macrofauna!$A$4:$O$23,BF$15,FALSE)</f>
        <v>0</v>
      </c>
      <c r="BG14" s="6">
        <f>VLOOKUP($R$1,Macrofauna!$A$4:$O$23,BG$15,FALSE)</f>
        <v>0.37749999999999995</v>
      </c>
      <c r="BH14" s="6">
        <f>VLOOKUP($R$1,Macrofauna!$A$4:$O$23,BH$15,FALSE)</f>
        <v>0</v>
      </c>
      <c r="BI14" s="6">
        <f>VLOOKUP($R$1,Macrofauna!$A$4:$O$23,BI$15,FALSE)</f>
        <v>0</v>
      </c>
      <c r="BJ14" s="6">
        <f>VLOOKUP($R$1,Macrofauna!$A$4:$O$23,BJ$15,FALSE)</f>
        <v>0.48350000000000004</v>
      </c>
      <c r="BK14" s="6">
        <f>VLOOKUP($R$1,Macrofauna!$A$4:$O$23,BK$15,FALSE)</f>
        <v>0</v>
      </c>
      <c r="BL14" s="6">
        <f>VLOOKUP($R$1,Macrofauna!$A$4:$O$23,BL$15,FALSE)</f>
        <v>0</v>
      </c>
      <c r="BM14" s="6">
        <f>VLOOKUP($R$1,Macrofauna!$A$4:$O$23,BM$15,FALSE)</f>
        <v>0.47249999999999998</v>
      </c>
      <c r="BN14" s="6">
        <f>VLOOKUP($R$1,Macrofauna!$A$4:$O$23,BN$15,FALSE)</f>
        <v>0</v>
      </c>
      <c r="BO14" s="6">
        <f>VLOOKUP($R$1,Macrofauna!$A$4:$O$23,BO$15,FALSE)</f>
        <v>0</v>
      </c>
      <c r="BP14" s="6">
        <f>VLOOKUP($R$1,Macrofauna!$A$4:$O$23,BP$15,FALSE)</f>
        <v>0.44800000000000006</v>
      </c>
      <c r="BQ14" s="6">
        <f>VLOOKUP($R$1,Macrofauna!$A$4:$O$23,BQ$15,FALSE)</f>
        <v>0</v>
      </c>
      <c r="BR14" s="6"/>
      <c r="BT14" s="6"/>
      <c r="BU14" s="6"/>
      <c r="BV14" s="6"/>
      <c r="BW14" s="6">
        <f>VLOOKUP($R$1,Vis!$A$4:$O$23,BW$15,FALSE)</f>
        <v>0</v>
      </c>
      <c r="BX14" s="6">
        <f>VLOOKUP($R$1,Vis!$A$4:$O$23,BX$15,FALSE)</f>
        <v>0.44400000000000001</v>
      </c>
      <c r="BY14" s="6">
        <f>VLOOKUP($R$1,Vis!$A$4:$O$23,BY$15,FALSE)</f>
        <v>0</v>
      </c>
      <c r="BZ14" s="6">
        <f>VLOOKUP($R$1,Vis!$A$4:$O$23,BZ$15,FALSE)</f>
        <v>0</v>
      </c>
      <c r="CA14" s="6">
        <f>VLOOKUP($R$1,Vis!$A$4:$O$23,CA$15,FALSE)</f>
        <v>0</v>
      </c>
      <c r="CB14" s="6">
        <f>VLOOKUP($R$1,Vis!$A$4:$O$23,CB$15,FALSE)</f>
        <v>0</v>
      </c>
      <c r="CC14" s="6">
        <f>VLOOKUP($R$1,Vis!$A$4:$O$23,CC$15,FALSE)</f>
        <v>0</v>
      </c>
      <c r="CD14" s="6">
        <f>VLOOKUP($R$1,Vis!$A$4:$O$23,CD$15,FALSE)</f>
        <v>0.627</v>
      </c>
      <c r="CE14" s="6">
        <f>VLOOKUP($R$1,Vis!$A$4:$O$23,CE$15,FALSE)</f>
        <v>0</v>
      </c>
      <c r="CF14" s="6">
        <f>VLOOKUP($R$1,Vis!$A$4:$O$23,CF$15,FALSE)</f>
        <v>0</v>
      </c>
      <c r="CG14" s="6">
        <f>VLOOKUP($R$1,Vis!$A$4:$O$23,CG$15,FALSE)</f>
        <v>0</v>
      </c>
      <c r="CH14" s="6">
        <f>VLOOKUP($R$1,Vis!$A$4:$O$23,CH$15,FALSE)</f>
        <v>0</v>
      </c>
      <c r="CI14" s="6">
        <f>VLOOKUP($R$1,Vis!$A$4:$O$23,CI$15,FALSE)</f>
        <v>0</v>
      </c>
      <c r="CJ14" s="6"/>
    </row>
    <row r="15" spans="1:91" x14ac:dyDescent="0.3">
      <c r="T15" s="6" t="s">
        <v>73</v>
      </c>
      <c r="U15" s="6">
        <v>3</v>
      </c>
      <c r="V15" s="6">
        <f>U15+1</f>
        <v>4</v>
      </c>
      <c r="W15" s="6">
        <f t="shared" ref="W15:AG15" si="37">V15+1</f>
        <v>5</v>
      </c>
      <c r="X15" s="6">
        <f t="shared" si="37"/>
        <v>6</v>
      </c>
      <c r="Y15" s="6">
        <f t="shared" si="37"/>
        <v>7</v>
      </c>
      <c r="Z15" s="6">
        <f t="shared" si="37"/>
        <v>8</v>
      </c>
      <c r="AA15" s="6">
        <f t="shared" si="37"/>
        <v>9</v>
      </c>
      <c r="AB15" s="6">
        <f t="shared" si="37"/>
        <v>10</v>
      </c>
      <c r="AC15" s="6">
        <f t="shared" si="37"/>
        <v>11</v>
      </c>
      <c r="AD15" s="6">
        <f t="shared" si="37"/>
        <v>12</v>
      </c>
      <c r="AE15" s="6">
        <f t="shared" si="37"/>
        <v>13</v>
      </c>
      <c r="AF15" s="6">
        <f t="shared" si="37"/>
        <v>14</v>
      </c>
      <c r="AG15" s="6">
        <f t="shared" si="37"/>
        <v>15</v>
      </c>
      <c r="AH15" s="6"/>
      <c r="AJ15" s="6"/>
      <c r="AK15" s="6"/>
      <c r="AL15" s="6"/>
      <c r="AM15" s="25">
        <v>3</v>
      </c>
      <c r="AN15" s="25">
        <f>AM15+1</f>
        <v>4</v>
      </c>
      <c r="AO15" s="25">
        <f t="shared" ref="AO15:AY15" si="38">AN15+1</f>
        <v>5</v>
      </c>
      <c r="AP15" s="25">
        <f t="shared" si="38"/>
        <v>6</v>
      </c>
      <c r="AQ15" s="25">
        <f t="shared" si="38"/>
        <v>7</v>
      </c>
      <c r="AR15" s="25">
        <f t="shared" si="38"/>
        <v>8</v>
      </c>
      <c r="AS15" s="25">
        <f t="shared" si="38"/>
        <v>9</v>
      </c>
      <c r="AT15" s="25">
        <f t="shared" si="38"/>
        <v>10</v>
      </c>
      <c r="AU15" s="25">
        <f t="shared" si="38"/>
        <v>11</v>
      </c>
      <c r="AV15" s="25">
        <f t="shared" si="38"/>
        <v>12</v>
      </c>
      <c r="AW15" s="25">
        <f t="shared" si="38"/>
        <v>13</v>
      </c>
      <c r="AX15" s="25">
        <f t="shared" si="38"/>
        <v>14</v>
      </c>
      <c r="AY15" s="25">
        <f t="shared" si="38"/>
        <v>15</v>
      </c>
      <c r="AZ15" s="6"/>
      <c r="BB15" s="6"/>
      <c r="BC15" s="6"/>
      <c r="BD15" s="6"/>
      <c r="BE15" s="6">
        <v>3</v>
      </c>
      <c r="BF15" s="6">
        <f>BE15+1</f>
        <v>4</v>
      </c>
      <c r="BG15" s="6">
        <f t="shared" ref="BG15:BQ15" si="39">BF15+1</f>
        <v>5</v>
      </c>
      <c r="BH15" s="6">
        <f t="shared" si="39"/>
        <v>6</v>
      </c>
      <c r="BI15" s="6">
        <f t="shared" si="39"/>
        <v>7</v>
      </c>
      <c r="BJ15" s="6">
        <f t="shared" si="39"/>
        <v>8</v>
      </c>
      <c r="BK15" s="6">
        <f t="shared" si="39"/>
        <v>9</v>
      </c>
      <c r="BL15" s="6">
        <f t="shared" si="39"/>
        <v>10</v>
      </c>
      <c r="BM15" s="6">
        <f t="shared" si="39"/>
        <v>11</v>
      </c>
      <c r="BN15" s="6">
        <f t="shared" si="39"/>
        <v>12</v>
      </c>
      <c r="BO15" s="6">
        <f t="shared" si="39"/>
        <v>13</v>
      </c>
      <c r="BP15" s="6">
        <f t="shared" si="39"/>
        <v>14</v>
      </c>
      <c r="BQ15" s="6">
        <f t="shared" si="39"/>
        <v>15</v>
      </c>
      <c r="BR15" s="6"/>
      <c r="BT15" s="6"/>
      <c r="BU15" s="6"/>
      <c r="BV15" s="6"/>
      <c r="BW15" s="6">
        <v>3</v>
      </c>
      <c r="BX15" s="6">
        <f>BW15+1</f>
        <v>4</v>
      </c>
      <c r="BY15" s="6">
        <f t="shared" ref="BY15:CI15" si="40">BX15+1</f>
        <v>5</v>
      </c>
      <c r="BZ15" s="6">
        <f t="shared" si="40"/>
        <v>6</v>
      </c>
      <c r="CA15" s="6">
        <f t="shared" si="40"/>
        <v>7</v>
      </c>
      <c r="CB15" s="6">
        <f t="shared" si="40"/>
        <v>8</v>
      </c>
      <c r="CC15" s="6">
        <f t="shared" si="40"/>
        <v>9</v>
      </c>
      <c r="CD15" s="6">
        <f t="shared" si="40"/>
        <v>10</v>
      </c>
      <c r="CE15" s="6">
        <f t="shared" si="40"/>
        <v>11</v>
      </c>
      <c r="CF15" s="6">
        <f t="shared" si="40"/>
        <v>12</v>
      </c>
      <c r="CG15" s="6">
        <f t="shared" si="40"/>
        <v>13</v>
      </c>
      <c r="CH15" s="6">
        <f t="shared" si="40"/>
        <v>14</v>
      </c>
      <c r="CI15" s="6">
        <f t="shared" si="40"/>
        <v>15</v>
      </c>
      <c r="CJ15" s="6"/>
    </row>
    <row r="16" spans="1:91" x14ac:dyDescent="0.3">
      <c r="T16" s="6"/>
      <c r="U16" s="6"/>
      <c r="V16" s="6"/>
      <c r="W16" s="6"/>
      <c r="X16" s="6"/>
      <c r="Y16" s="6"/>
      <c r="Z16" s="6"/>
      <c r="AA16" s="6"/>
      <c r="AB16" s="6"/>
      <c r="AC16" s="6"/>
      <c r="AD16" s="6"/>
      <c r="AE16" s="6"/>
      <c r="AF16" s="6"/>
      <c r="AG16" s="6"/>
      <c r="AH16" s="6"/>
      <c r="AJ16" s="6"/>
      <c r="AK16" s="6"/>
      <c r="AL16" s="6"/>
      <c r="AM16" s="25"/>
      <c r="AN16" s="25"/>
      <c r="AO16" s="25"/>
      <c r="AP16" s="25"/>
      <c r="AQ16" s="25"/>
      <c r="AR16" s="25"/>
      <c r="AS16" s="25"/>
      <c r="AT16" s="25"/>
      <c r="AU16" s="25"/>
      <c r="AV16" s="25"/>
      <c r="AW16" s="25"/>
      <c r="AX16" s="25"/>
      <c r="AY16" s="25"/>
      <c r="AZ16" s="6"/>
      <c r="BB16" s="6"/>
      <c r="BC16" s="6"/>
      <c r="BD16" s="6"/>
      <c r="BE16" s="6"/>
      <c r="BF16" s="6"/>
      <c r="BG16" s="6"/>
      <c r="BH16" s="6"/>
      <c r="BI16" s="6"/>
      <c r="BJ16" s="6"/>
      <c r="BK16" s="6"/>
      <c r="BL16" s="6"/>
      <c r="BM16" s="6"/>
      <c r="BN16" s="6"/>
      <c r="BO16" s="6"/>
      <c r="BP16" s="6"/>
      <c r="BQ16" s="6"/>
      <c r="BR16" s="6"/>
      <c r="BT16" s="6"/>
      <c r="BU16" s="6"/>
      <c r="BV16" s="6"/>
      <c r="BW16" s="6"/>
      <c r="BX16" s="6"/>
      <c r="BY16" s="6"/>
      <c r="BZ16" s="6"/>
      <c r="CA16" s="6"/>
      <c r="CB16" s="6"/>
      <c r="CC16" s="6"/>
      <c r="CD16" s="6"/>
      <c r="CE16" s="6"/>
      <c r="CF16" s="6"/>
      <c r="CG16" s="6"/>
      <c r="CH16" s="6"/>
      <c r="CI16" s="6"/>
      <c r="CJ16" s="6"/>
    </row>
    <row r="17" spans="1:88" x14ac:dyDescent="0.3">
      <c r="T17" s="6"/>
      <c r="U17" s="6"/>
      <c r="V17" s="6"/>
      <c r="W17" s="6"/>
      <c r="X17" s="6"/>
      <c r="Y17" s="6"/>
      <c r="Z17" s="6"/>
      <c r="AA17" s="6"/>
      <c r="AB17" s="6"/>
      <c r="AC17" s="6"/>
      <c r="AD17" s="6"/>
      <c r="AE17" s="6"/>
      <c r="AF17" s="6"/>
      <c r="AG17" s="6"/>
      <c r="AH17" s="6"/>
      <c r="AJ17" s="6"/>
      <c r="AK17" s="6"/>
      <c r="AL17" s="6"/>
      <c r="AM17" s="25"/>
      <c r="AN17" s="25"/>
      <c r="AO17" s="25"/>
      <c r="AP17" s="25"/>
      <c r="AQ17" s="25"/>
      <c r="AR17" s="25"/>
      <c r="AS17" s="25"/>
      <c r="AT17" s="25"/>
      <c r="AU17" s="25"/>
      <c r="AV17" s="25"/>
      <c r="AW17" s="25"/>
      <c r="AX17" s="25"/>
      <c r="AY17" s="25"/>
      <c r="AZ17" s="6"/>
      <c r="BB17" s="6"/>
      <c r="BC17" s="6"/>
      <c r="BD17" s="6"/>
      <c r="BE17" s="6"/>
      <c r="BF17" s="6"/>
      <c r="BG17" s="6"/>
      <c r="BH17" s="6"/>
      <c r="BI17" s="6"/>
      <c r="BJ17" s="6"/>
      <c r="BK17" s="6"/>
      <c r="BL17" s="6"/>
      <c r="BM17" s="6"/>
      <c r="BN17" s="6"/>
      <c r="BO17" s="6"/>
      <c r="BP17" s="6"/>
      <c r="BQ17" s="6"/>
      <c r="BR17" s="6"/>
      <c r="BT17" s="6"/>
      <c r="BU17" s="6"/>
      <c r="BV17" s="6"/>
      <c r="BW17" s="6"/>
      <c r="BX17" s="6"/>
      <c r="BY17" s="6"/>
      <c r="BZ17" s="6"/>
      <c r="CA17" s="6"/>
      <c r="CB17" s="6"/>
      <c r="CC17" s="6"/>
      <c r="CD17" s="6"/>
      <c r="CE17" s="6"/>
      <c r="CF17" s="6"/>
      <c r="CG17" s="6"/>
      <c r="CH17" s="6"/>
      <c r="CI17" s="6"/>
      <c r="CJ17" s="6"/>
    </row>
    <row r="23" spans="1:88" x14ac:dyDescent="0.3">
      <c r="P23" s="171" t="s">
        <v>74</v>
      </c>
      <c r="Q23" s="171"/>
      <c r="R23" s="171"/>
    </row>
    <row r="24" spans="1:88" x14ac:dyDescent="0.3">
      <c r="P24" s="172" t="str">
        <f>VLOOKUP(R1,Vegetatie!AZ4:BB23,3,FALSE)</f>
        <v>Landelijke tussenevaluatie</v>
      </c>
      <c r="Q24" s="172"/>
      <c r="R24" s="172"/>
    </row>
    <row r="25" spans="1:88" x14ac:dyDescent="0.3">
      <c r="P25" s="172"/>
      <c r="Q25" s="172"/>
      <c r="R25" s="172"/>
    </row>
    <row r="26" spans="1:88" ht="15.6" x14ac:dyDescent="0.3">
      <c r="A26" s="179" t="s">
        <v>75</v>
      </c>
      <c r="B26" s="179"/>
      <c r="C26" s="179"/>
      <c r="D26" s="179"/>
      <c r="E26" s="179"/>
      <c r="F26" s="179"/>
      <c r="G26" s="179"/>
      <c r="H26" s="179"/>
      <c r="I26" s="179"/>
      <c r="J26" s="179"/>
      <c r="K26" s="179"/>
      <c r="L26" s="179"/>
      <c r="M26" s="179"/>
      <c r="N26" s="179"/>
      <c r="P26" s="18" t="s">
        <v>76</v>
      </c>
    </row>
    <row r="27" spans="1:88" ht="15.6" x14ac:dyDescent="0.3">
      <c r="A27" s="176" t="str">
        <f>A1</f>
        <v>NL37_Weerwater</v>
      </c>
      <c r="B27" s="177"/>
      <c r="C27" s="177"/>
      <c r="D27" s="177" t="str">
        <f>D1</f>
        <v>Weerwater</v>
      </c>
      <c r="E27" s="177"/>
      <c r="F27" s="177"/>
      <c r="G27" s="177"/>
      <c r="H27" s="177"/>
      <c r="I27" s="177"/>
      <c r="J27" s="177"/>
      <c r="K27" s="177"/>
      <c r="L27" s="177"/>
      <c r="M27" s="177"/>
      <c r="N27" s="178"/>
      <c r="T27" s="6" t="s">
        <v>77</v>
      </c>
      <c r="U27" s="6"/>
      <c r="V27" s="6"/>
      <c r="W27" s="6"/>
      <c r="X27" s="6"/>
      <c r="Y27" s="6"/>
      <c r="Z27" s="6"/>
      <c r="AA27" s="6"/>
      <c r="AB27" s="6"/>
      <c r="AC27" s="6"/>
      <c r="AD27" s="6"/>
      <c r="AE27" s="6"/>
      <c r="AF27" s="6"/>
      <c r="AG27" s="6"/>
      <c r="AH27" s="6"/>
      <c r="AI27" s="6"/>
      <c r="AJ27" s="6"/>
      <c r="AK27" s="6"/>
      <c r="AL27" s="6" t="s">
        <v>78</v>
      </c>
      <c r="AM27" s="6"/>
      <c r="AN27" s="6"/>
      <c r="AO27" s="6" t="s">
        <v>78</v>
      </c>
      <c r="AP27" s="6"/>
      <c r="AQ27" s="6"/>
      <c r="AR27" s="6"/>
      <c r="AS27" s="6"/>
      <c r="AT27" s="6"/>
      <c r="AU27" s="6"/>
      <c r="AV27" s="6"/>
      <c r="AW27" s="6"/>
      <c r="AX27" s="6"/>
      <c r="AY27" s="6"/>
      <c r="AZ27" s="6"/>
      <c r="BA27" s="6"/>
      <c r="BB27" s="6"/>
      <c r="BC27" s="6"/>
      <c r="BD27" s="6"/>
      <c r="BE27" s="6"/>
      <c r="BF27" s="6"/>
      <c r="BG27" s="6"/>
    </row>
    <row r="28" spans="1:88" x14ac:dyDescent="0.3">
      <c r="T28" s="6"/>
      <c r="U28" s="6">
        <v>2012</v>
      </c>
      <c r="V28" s="6">
        <v>2013</v>
      </c>
      <c r="W28" s="6">
        <v>2014</v>
      </c>
      <c r="X28" s="6">
        <v>2015</v>
      </c>
      <c r="Y28" s="6">
        <v>2016</v>
      </c>
      <c r="Z28" s="6">
        <v>2017</v>
      </c>
      <c r="AA28" s="6">
        <v>2018</v>
      </c>
      <c r="AB28" s="6">
        <v>2019</v>
      </c>
      <c r="AC28" s="6">
        <v>2020</v>
      </c>
      <c r="AD28" s="6">
        <v>2021</v>
      </c>
      <c r="AE28" s="6">
        <v>2022</v>
      </c>
      <c r="AF28" s="6">
        <v>2023</v>
      </c>
      <c r="AG28" s="6">
        <v>2024</v>
      </c>
      <c r="AH28" s="6"/>
      <c r="AI28" s="6"/>
      <c r="AJ28" s="6"/>
      <c r="AK28" s="6"/>
      <c r="AL28" s="6"/>
      <c r="AM28" s="6">
        <v>2012</v>
      </c>
      <c r="AN28" s="6">
        <f>AM28+1</f>
        <v>2013</v>
      </c>
      <c r="AO28" s="6">
        <f t="shared" ref="AO28:AY28" si="41">AN28+1</f>
        <v>2014</v>
      </c>
      <c r="AP28" s="6">
        <f t="shared" si="41"/>
        <v>2015</v>
      </c>
      <c r="AQ28" s="6">
        <f t="shared" si="41"/>
        <v>2016</v>
      </c>
      <c r="AR28" s="6">
        <f t="shared" si="41"/>
        <v>2017</v>
      </c>
      <c r="AS28" s="6">
        <f t="shared" si="41"/>
        <v>2018</v>
      </c>
      <c r="AT28" s="6">
        <f t="shared" si="41"/>
        <v>2019</v>
      </c>
      <c r="AU28" s="6">
        <f t="shared" si="41"/>
        <v>2020</v>
      </c>
      <c r="AV28" s="6">
        <f t="shared" si="41"/>
        <v>2021</v>
      </c>
      <c r="AW28" s="6">
        <f t="shared" si="41"/>
        <v>2022</v>
      </c>
      <c r="AX28" s="6">
        <f t="shared" si="41"/>
        <v>2023</v>
      </c>
      <c r="AY28" s="6">
        <f t="shared" si="41"/>
        <v>2024</v>
      </c>
      <c r="AZ28" s="6"/>
      <c r="BA28" s="6"/>
      <c r="BB28" s="6"/>
      <c r="BC28" s="6"/>
      <c r="BD28" s="6"/>
      <c r="BE28" s="6"/>
      <c r="BF28" s="6"/>
      <c r="BG28" s="6"/>
    </row>
    <row r="29" spans="1:88" x14ac:dyDescent="0.3">
      <c r="T29" s="6" t="s">
        <v>79</v>
      </c>
      <c r="U29" s="6">
        <f>IF(U32=0,"",U32)</f>
        <v>6.2E-2</v>
      </c>
      <c r="V29" s="6">
        <f t="shared" ref="V29:W29" si="42">IF(V32=0,"",V32)</f>
        <v>7.6999999999999999E-2</v>
      </c>
      <c r="W29" s="6">
        <f t="shared" si="42"/>
        <v>0.06</v>
      </c>
      <c r="X29" s="6">
        <f>IF(X32=0,"",X32)</f>
        <v>8.2000000000000003E-2</v>
      </c>
      <c r="Y29" s="6">
        <f t="shared" ref="Y29:AG29" si="43">IF(Y32=0,"",Y32)</f>
        <v>6.5000000000000002E-2</v>
      </c>
      <c r="Z29" s="6">
        <f t="shared" si="43"/>
        <v>7.3999999999999996E-2</v>
      </c>
      <c r="AA29" s="6">
        <f t="shared" si="43"/>
        <v>6.4000000000000001E-2</v>
      </c>
      <c r="AB29" s="6">
        <f t="shared" si="43"/>
        <v>6.4000000000000001E-2</v>
      </c>
      <c r="AC29" s="6">
        <f t="shared" si="43"/>
        <v>6.3E-2</v>
      </c>
      <c r="AD29" s="6">
        <f t="shared" si="43"/>
        <v>6.5000000000000002E-2</v>
      </c>
      <c r="AE29" s="6">
        <f t="shared" si="43"/>
        <v>0.04</v>
      </c>
      <c r="AF29" s="6">
        <f t="shared" si="43"/>
        <v>4.2000000000000003E-2</v>
      </c>
      <c r="AG29" s="6">
        <f t="shared" si="43"/>
        <v>4.4999999999999998E-2</v>
      </c>
      <c r="AH29" s="6"/>
      <c r="AI29" s="6"/>
      <c r="AJ29" s="6"/>
      <c r="AK29" s="6"/>
      <c r="AL29" s="6" t="s">
        <v>79</v>
      </c>
      <c r="AM29" s="6">
        <f t="shared" ref="AM29:AO29" si="44">IF(AM32=0,"",AM32)</f>
        <v>0.46</v>
      </c>
      <c r="AN29" s="6">
        <f t="shared" si="44"/>
        <v>0.81</v>
      </c>
      <c r="AO29" s="6">
        <f t="shared" si="44"/>
        <v>0.95</v>
      </c>
      <c r="AP29" s="6">
        <f>IF(AP32=0,"",AP32)</f>
        <v>0.88</v>
      </c>
      <c r="AQ29" s="6">
        <f t="shared" ref="AQ29:AY29" si="45">IF(AQ32=0,"",AQ32)</f>
        <v>0.57999999999999996</v>
      </c>
      <c r="AR29" s="6">
        <f t="shared" si="45"/>
        <v>0.45</v>
      </c>
      <c r="AS29" s="6">
        <f t="shared" si="45"/>
        <v>0.5</v>
      </c>
      <c r="AT29" s="6">
        <f t="shared" si="45"/>
        <v>0.48</v>
      </c>
      <c r="AU29" s="6">
        <f t="shared" si="45"/>
        <v>0.44</v>
      </c>
      <c r="AV29" s="6">
        <f t="shared" si="45"/>
        <v>0.28000000000000003</v>
      </c>
      <c r="AW29" s="6">
        <f t="shared" si="45"/>
        <v>0.52</v>
      </c>
      <c r="AX29" s="6">
        <f t="shared" si="45"/>
        <v>0.62</v>
      </c>
      <c r="AY29" s="6">
        <f t="shared" si="45"/>
        <v>0.57999999999999996</v>
      </c>
      <c r="AZ29" s="6"/>
      <c r="BA29" s="6"/>
      <c r="BB29" s="6"/>
      <c r="BC29" s="6"/>
      <c r="BD29" s="6"/>
      <c r="BE29" s="6"/>
      <c r="BF29" s="6"/>
      <c r="BG29" s="6"/>
    </row>
    <row r="30" spans="1:88" x14ac:dyDescent="0.3">
      <c r="T30" s="6" t="s">
        <v>80</v>
      </c>
      <c r="U30" s="6">
        <f>VLOOKUP($R$1,WLs!$A$4:$S$23,11,FALSE)</f>
        <v>0.1</v>
      </c>
      <c r="V30" s="6">
        <f>VLOOKUP($R$1,WLs!$A$4:$S$23,11,FALSE)</f>
        <v>0.1</v>
      </c>
      <c r="W30" s="6">
        <f>VLOOKUP($R$1,WLs!$A$4:$S$23,11,FALSE)</f>
        <v>0.1</v>
      </c>
      <c r="X30" s="6">
        <f>VLOOKUP($R$1,WLs!$A$4:$S$23,11,FALSE)</f>
        <v>0.1</v>
      </c>
      <c r="Y30" s="6">
        <f>X30</f>
        <v>0.1</v>
      </c>
      <c r="Z30" s="6">
        <f t="shared" ref="Z30:AG30" si="46">Y30</f>
        <v>0.1</v>
      </c>
      <c r="AA30" s="6">
        <f t="shared" si="46"/>
        <v>0.1</v>
      </c>
      <c r="AB30" s="6">
        <f t="shared" si="46"/>
        <v>0.1</v>
      </c>
      <c r="AC30" s="6">
        <f t="shared" si="46"/>
        <v>0.1</v>
      </c>
      <c r="AD30" s="6">
        <f t="shared" si="46"/>
        <v>0.1</v>
      </c>
      <c r="AE30" s="6">
        <f t="shared" si="46"/>
        <v>0.1</v>
      </c>
      <c r="AF30" s="6">
        <f t="shared" si="46"/>
        <v>0.1</v>
      </c>
      <c r="AG30" s="6">
        <f t="shared" si="46"/>
        <v>0.1</v>
      </c>
      <c r="AH30" s="6"/>
      <c r="AI30" s="6"/>
      <c r="AJ30" s="6"/>
      <c r="AK30" s="6"/>
      <c r="AL30" s="6" t="s">
        <v>80</v>
      </c>
      <c r="AM30" s="6">
        <f>VLOOKUP($R$1,WLs!$A$4:$S$23,12,FALSE)</f>
        <v>0.9</v>
      </c>
      <c r="AN30" s="6">
        <f>VLOOKUP($R$1,WLs!$A$4:$S$23,12,FALSE)</f>
        <v>0.9</v>
      </c>
      <c r="AO30" s="6">
        <f>VLOOKUP($R$1,WLs!$A$4:$S$23,12,FALSE)</f>
        <v>0.9</v>
      </c>
      <c r="AP30" s="6">
        <f>VLOOKUP($R$1,WLs!$A$4:$S$23,12,FALSE)</f>
        <v>0.9</v>
      </c>
      <c r="AQ30" s="6">
        <f>AP30</f>
        <v>0.9</v>
      </c>
      <c r="AR30" s="6">
        <f t="shared" ref="AR30:AY30" si="47">AQ30</f>
        <v>0.9</v>
      </c>
      <c r="AS30" s="6">
        <f t="shared" si="47"/>
        <v>0.9</v>
      </c>
      <c r="AT30" s="6">
        <f t="shared" si="47"/>
        <v>0.9</v>
      </c>
      <c r="AU30" s="6">
        <f t="shared" si="47"/>
        <v>0.9</v>
      </c>
      <c r="AV30" s="6">
        <f t="shared" si="47"/>
        <v>0.9</v>
      </c>
      <c r="AW30" s="6">
        <f t="shared" si="47"/>
        <v>0.9</v>
      </c>
      <c r="AX30" s="6">
        <f t="shared" si="47"/>
        <v>0.9</v>
      </c>
      <c r="AY30" s="6">
        <f t="shared" si="47"/>
        <v>0.9</v>
      </c>
      <c r="AZ30" s="6"/>
      <c r="BA30" s="6"/>
      <c r="BB30" s="6"/>
      <c r="BC30" s="6"/>
      <c r="BD30" s="6"/>
      <c r="BE30" s="6"/>
      <c r="BF30" s="6"/>
      <c r="BG30" s="6"/>
    </row>
    <row r="31" spans="1:88" x14ac:dyDescent="0.3">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row>
    <row r="32" spans="1:88" x14ac:dyDescent="0.3">
      <c r="T32" s="6" t="s">
        <v>79</v>
      </c>
      <c r="U32" s="6">
        <f>VLOOKUP($R$1,P!$A$3:$O$22,U33,FALSE)</f>
        <v>6.2E-2</v>
      </c>
      <c r="V32" s="6">
        <f>VLOOKUP($R$1,P!$A$3:$O$22,V33,FALSE)</f>
        <v>7.6999999999999999E-2</v>
      </c>
      <c r="W32" s="6">
        <f>VLOOKUP($R$1,P!$A$3:$O$22,W33,FALSE)</f>
        <v>0.06</v>
      </c>
      <c r="X32" s="6">
        <f>VLOOKUP($R$1,P!$A$3:$O$22,X33,FALSE)</f>
        <v>8.2000000000000003E-2</v>
      </c>
      <c r="Y32" s="6">
        <f>VLOOKUP($R$1,P!$A$3:$O$22,Y33,FALSE)</f>
        <v>6.5000000000000002E-2</v>
      </c>
      <c r="Z32" s="6">
        <f>VLOOKUP($R$1,P!$A$3:$O$22,Z33,FALSE)</f>
        <v>7.3999999999999996E-2</v>
      </c>
      <c r="AA32" s="6">
        <f>VLOOKUP($R$1,P!$A$3:$O$22,AA33,FALSE)</f>
        <v>6.4000000000000001E-2</v>
      </c>
      <c r="AB32" s="6">
        <f>VLOOKUP($R$1,P!$A$3:$O$22,AB33,FALSE)</f>
        <v>6.4000000000000001E-2</v>
      </c>
      <c r="AC32" s="6">
        <f>VLOOKUP($R$1,P!$A$3:$O$22,AC33,FALSE)</f>
        <v>6.3E-2</v>
      </c>
      <c r="AD32" s="6">
        <f>VLOOKUP($R$1,P!$A$3:$O$22,AD33,FALSE)</f>
        <v>6.5000000000000002E-2</v>
      </c>
      <c r="AE32" s="6">
        <f>VLOOKUP($R$1,P!$A$3:$O$22,AE33,FALSE)</f>
        <v>0.04</v>
      </c>
      <c r="AF32" s="6">
        <f>VLOOKUP($R$1,P!$A$3:$O$22,AF33,FALSE)</f>
        <v>4.2000000000000003E-2</v>
      </c>
      <c r="AG32" s="6">
        <f>VLOOKUP($R$1,P!$A$3:$O$22,AG33,FALSE)</f>
        <v>4.4999999999999998E-2</v>
      </c>
      <c r="AH32" s="6"/>
      <c r="AI32" s="6"/>
      <c r="AJ32" s="6"/>
      <c r="AK32" s="6"/>
      <c r="AL32" s="6" t="s">
        <v>79</v>
      </c>
      <c r="AM32" s="6">
        <f>VLOOKUP($R$1,N!$A$3:$O$22,AM33,FALSE)</f>
        <v>0.46</v>
      </c>
      <c r="AN32" s="6">
        <f>VLOOKUP($R$1,N!$A$3:$O$22,AN33,FALSE)</f>
        <v>0.81</v>
      </c>
      <c r="AO32" s="6">
        <f>VLOOKUP($R$1,N!$A$3:$O$22,AO33,FALSE)</f>
        <v>0.95</v>
      </c>
      <c r="AP32" s="6">
        <f>VLOOKUP($R$1,N!$A$3:$O$22,AP33,FALSE)</f>
        <v>0.88</v>
      </c>
      <c r="AQ32" s="6">
        <f>VLOOKUP($R$1,N!$A$3:$O$22,AQ33,FALSE)</f>
        <v>0.57999999999999996</v>
      </c>
      <c r="AR32" s="6">
        <f>VLOOKUP($R$1,N!$A$3:$O$22,AR33,FALSE)</f>
        <v>0.45</v>
      </c>
      <c r="AS32" s="6">
        <f>VLOOKUP($R$1,N!$A$3:$O$22,AS33,FALSE)</f>
        <v>0.5</v>
      </c>
      <c r="AT32" s="6">
        <f>VLOOKUP($R$1,N!$A$3:$O$22,AT33,FALSE)</f>
        <v>0.48</v>
      </c>
      <c r="AU32" s="6">
        <f>VLOOKUP($R$1,N!$A$3:$O$22,AU33,FALSE)</f>
        <v>0.44</v>
      </c>
      <c r="AV32" s="6">
        <f>VLOOKUP($R$1,N!$A$3:$O$22,AV33,FALSE)</f>
        <v>0.28000000000000003</v>
      </c>
      <c r="AW32" s="6">
        <f>VLOOKUP($R$1,N!$A$3:$O$22,AW33,FALSE)</f>
        <v>0.52</v>
      </c>
      <c r="AX32" s="6">
        <f>VLOOKUP($R$1,N!$A$3:$O$22,AX33,FALSE)</f>
        <v>0.62</v>
      </c>
      <c r="AY32" s="6">
        <f>VLOOKUP($R$1,N!$A$3:$O$22,AY33,FALSE)</f>
        <v>0.57999999999999996</v>
      </c>
      <c r="AZ32" s="6"/>
      <c r="BA32" s="6"/>
      <c r="BB32" s="6"/>
      <c r="BC32" s="6"/>
      <c r="BD32" s="6"/>
      <c r="BE32" s="6"/>
      <c r="BF32" s="6"/>
      <c r="BG32" s="6"/>
    </row>
    <row r="33" spans="20:59" x14ac:dyDescent="0.3">
      <c r="T33" s="6" t="s">
        <v>73</v>
      </c>
      <c r="U33" s="6">
        <v>3</v>
      </c>
      <c r="V33" s="6">
        <f>U33+1</f>
        <v>4</v>
      </c>
      <c r="W33" s="6">
        <f t="shared" ref="W33:AG33" si="48">V33+1</f>
        <v>5</v>
      </c>
      <c r="X33" s="6">
        <f t="shared" si="48"/>
        <v>6</v>
      </c>
      <c r="Y33" s="6">
        <f t="shared" si="48"/>
        <v>7</v>
      </c>
      <c r="Z33" s="6">
        <f t="shared" si="48"/>
        <v>8</v>
      </c>
      <c r="AA33" s="6">
        <f t="shared" si="48"/>
        <v>9</v>
      </c>
      <c r="AB33" s="6">
        <f t="shared" si="48"/>
        <v>10</v>
      </c>
      <c r="AC33" s="6">
        <f t="shared" si="48"/>
        <v>11</v>
      </c>
      <c r="AD33" s="6">
        <f t="shared" si="48"/>
        <v>12</v>
      </c>
      <c r="AE33" s="6">
        <f t="shared" si="48"/>
        <v>13</v>
      </c>
      <c r="AF33" s="6">
        <f t="shared" si="48"/>
        <v>14</v>
      </c>
      <c r="AG33" s="6">
        <f t="shared" si="48"/>
        <v>15</v>
      </c>
      <c r="AH33" s="6"/>
      <c r="AI33" s="6"/>
      <c r="AJ33" s="6"/>
      <c r="AK33" s="6"/>
      <c r="AL33" s="6" t="s">
        <v>73</v>
      </c>
      <c r="AM33" s="6">
        <v>3</v>
      </c>
      <c r="AN33" s="6">
        <f>AM33+1</f>
        <v>4</v>
      </c>
      <c r="AO33" s="6">
        <f t="shared" ref="AO33:AY33" si="49">AN33+1</f>
        <v>5</v>
      </c>
      <c r="AP33" s="6">
        <f t="shared" si="49"/>
        <v>6</v>
      </c>
      <c r="AQ33" s="6">
        <f t="shared" si="49"/>
        <v>7</v>
      </c>
      <c r="AR33" s="6">
        <f t="shared" si="49"/>
        <v>8</v>
      </c>
      <c r="AS33" s="6">
        <f t="shared" si="49"/>
        <v>9</v>
      </c>
      <c r="AT33" s="6">
        <f t="shared" si="49"/>
        <v>10</v>
      </c>
      <c r="AU33" s="6">
        <f t="shared" si="49"/>
        <v>11</v>
      </c>
      <c r="AV33" s="6">
        <f t="shared" si="49"/>
        <v>12</v>
      </c>
      <c r="AW33" s="6">
        <f t="shared" si="49"/>
        <v>13</v>
      </c>
      <c r="AX33" s="6">
        <f t="shared" si="49"/>
        <v>14</v>
      </c>
      <c r="AY33" s="6">
        <f t="shared" si="49"/>
        <v>15</v>
      </c>
      <c r="AZ33" s="6"/>
      <c r="BA33" s="6"/>
      <c r="BB33" s="6"/>
      <c r="BC33" s="6"/>
      <c r="BD33" s="6"/>
      <c r="BE33" s="6"/>
      <c r="BF33" s="6"/>
      <c r="BG33" s="6"/>
    </row>
    <row r="34" spans="20:59" x14ac:dyDescent="0.3">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row>
    <row r="35" spans="20:59" x14ac:dyDescent="0.3">
      <c r="T35" s="6" t="s">
        <v>66</v>
      </c>
      <c r="U35" s="6"/>
      <c r="V35" s="6"/>
      <c r="W35" s="6"/>
      <c r="X35" s="6"/>
      <c r="Y35" s="6"/>
      <c r="Z35" s="6"/>
      <c r="AA35" s="6"/>
      <c r="AB35" s="6"/>
      <c r="AC35" s="6"/>
      <c r="AD35" s="6"/>
      <c r="AE35" s="6"/>
      <c r="AF35" s="6"/>
      <c r="AG35" s="6"/>
      <c r="AH35" s="6"/>
      <c r="AI35" s="6"/>
      <c r="AJ35" s="6"/>
      <c r="AK35" s="6"/>
      <c r="AL35" s="6" t="s">
        <v>66</v>
      </c>
      <c r="AM35" s="6"/>
      <c r="AN35" s="6"/>
      <c r="AO35" s="6"/>
      <c r="AP35" s="6"/>
      <c r="AQ35" s="6"/>
      <c r="AR35" s="6"/>
      <c r="AS35" s="6"/>
      <c r="AT35" s="6"/>
      <c r="AU35" s="6"/>
      <c r="AV35" s="6"/>
      <c r="AW35" s="6"/>
      <c r="AX35" s="6"/>
      <c r="AY35" s="6"/>
      <c r="AZ35" s="6"/>
      <c r="BA35" s="6"/>
      <c r="BB35" s="6"/>
      <c r="BC35" s="6"/>
      <c r="BD35" s="6"/>
      <c r="BE35" s="6"/>
      <c r="BF35" s="6"/>
      <c r="BG35" s="6"/>
    </row>
    <row r="36" spans="20:59" x14ac:dyDescent="0.3">
      <c r="T36" s="6" t="s">
        <v>81</v>
      </c>
      <c r="U36" s="6"/>
      <c r="V36" s="6"/>
      <c r="W36" s="6"/>
      <c r="X36" s="6"/>
      <c r="Y36" s="6"/>
      <c r="Z36" s="6"/>
      <c r="AA36" s="6"/>
      <c r="AB36" s="6"/>
      <c r="AC36" s="6"/>
      <c r="AD36" s="6"/>
      <c r="AE36" s="6"/>
      <c r="AF36" s="6"/>
      <c r="AG36" s="6"/>
      <c r="AH36" s="6"/>
      <c r="AI36" s="6"/>
      <c r="AJ36" s="6"/>
      <c r="AK36" s="6"/>
      <c r="AL36" s="6" t="s">
        <v>81</v>
      </c>
      <c r="AM36" s="6"/>
      <c r="AN36" s="6"/>
      <c r="AO36" s="6"/>
      <c r="AP36" s="6"/>
      <c r="AQ36" s="6"/>
      <c r="AR36" s="6"/>
      <c r="AS36" s="6"/>
      <c r="AT36" s="6"/>
      <c r="AU36" s="6"/>
      <c r="AV36" s="6"/>
      <c r="AW36" s="6"/>
      <c r="AX36" s="6"/>
      <c r="AY36" s="6"/>
      <c r="AZ36" s="6"/>
      <c r="BA36" s="6"/>
      <c r="BB36" s="6"/>
      <c r="BC36" s="6"/>
      <c r="BD36" s="6"/>
      <c r="BE36" s="6"/>
      <c r="BF36" s="6"/>
      <c r="BG36" s="6"/>
    </row>
    <row r="37" spans="20:59" x14ac:dyDescent="0.3">
      <c r="T37" s="6" t="s">
        <v>82</v>
      </c>
      <c r="U37" s="6"/>
      <c r="V37" s="6"/>
      <c r="W37" s="6"/>
      <c r="X37" s="6"/>
      <c r="Y37" s="6"/>
      <c r="Z37" s="6"/>
      <c r="AA37" s="6"/>
      <c r="AB37" s="6"/>
      <c r="AC37" s="6"/>
      <c r="AD37" s="6"/>
      <c r="AE37" s="6"/>
      <c r="AF37" s="6"/>
      <c r="AG37" s="6"/>
      <c r="AH37" s="6"/>
      <c r="AI37" s="6"/>
      <c r="AJ37" s="6"/>
      <c r="AK37" s="6"/>
      <c r="AL37" s="6" t="s">
        <v>82</v>
      </c>
      <c r="AM37" s="6"/>
      <c r="AN37" s="6"/>
      <c r="AO37" s="6"/>
      <c r="AP37" s="6"/>
      <c r="AQ37" s="6"/>
      <c r="AR37" s="6"/>
      <c r="AS37" s="6"/>
      <c r="AT37" s="6"/>
      <c r="AU37" s="6"/>
      <c r="AV37" s="6"/>
      <c r="AW37" s="6"/>
      <c r="AX37" s="6"/>
      <c r="AY37" s="6"/>
      <c r="AZ37" s="6"/>
      <c r="BA37" s="6"/>
      <c r="BB37" s="6"/>
      <c r="BC37" s="6"/>
      <c r="BD37" s="6"/>
      <c r="BE37" s="6"/>
      <c r="BF37" s="6"/>
      <c r="BG37" s="6"/>
    </row>
    <row r="38" spans="20:59" x14ac:dyDescent="0.3">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B38" s="6"/>
      <c r="BC38" s="6"/>
      <c r="BD38" s="6"/>
      <c r="BE38" s="6"/>
      <c r="BF38" s="6"/>
      <c r="BG38" s="6"/>
    </row>
    <row r="39" spans="20:59" x14ac:dyDescent="0.3">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B39" s="6"/>
      <c r="BC39" s="6"/>
      <c r="BD39" s="6"/>
      <c r="BE39" s="6"/>
      <c r="BF39" s="6"/>
      <c r="BG39" s="6"/>
    </row>
    <row r="40" spans="20:59" x14ac:dyDescent="0.3">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row>
    <row r="41" spans="20:59" x14ac:dyDescent="0.3">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row>
    <row r="42" spans="20:59" x14ac:dyDescent="0.3">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row>
    <row r="43" spans="20:59" x14ac:dyDescent="0.3">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row>
    <row r="44" spans="20:59" x14ac:dyDescent="0.3">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row>
    <row r="45" spans="20:59" x14ac:dyDescent="0.3">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row>
    <row r="46" spans="20:59" x14ac:dyDescent="0.3">
      <c r="T46" s="6" t="s">
        <v>83</v>
      </c>
      <c r="U46" s="6"/>
      <c r="V46" s="6"/>
      <c r="W46" s="6"/>
      <c r="X46" s="6"/>
      <c r="Y46" s="6"/>
      <c r="Z46" s="6"/>
      <c r="AA46" s="6"/>
      <c r="AB46" s="6"/>
      <c r="AC46" s="6"/>
      <c r="AD46" s="6"/>
      <c r="AE46" s="6"/>
      <c r="AF46" s="6"/>
      <c r="AG46" s="6"/>
      <c r="AH46" s="6"/>
      <c r="AI46" s="6"/>
      <c r="AJ46" s="6"/>
      <c r="AK46" s="6"/>
      <c r="AL46" s="6" t="s">
        <v>84</v>
      </c>
      <c r="AM46" s="6"/>
      <c r="AN46" s="6"/>
      <c r="AO46" s="6"/>
      <c r="AP46" s="6"/>
      <c r="AQ46" s="6"/>
      <c r="AR46" s="6"/>
      <c r="AS46" s="6"/>
      <c r="AT46" s="6"/>
      <c r="AU46" s="6"/>
      <c r="AV46" s="6"/>
      <c r="AW46" s="6"/>
      <c r="AX46" s="6"/>
      <c r="AY46" s="6"/>
      <c r="AZ46" s="6"/>
      <c r="BA46" s="6"/>
      <c r="BB46" s="6"/>
      <c r="BC46" s="6"/>
      <c r="BD46" s="6"/>
      <c r="BE46" s="6"/>
      <c r="BF46" s="6"/>
      <c r="BG46" s="6"/>
    </row>
    <row r="47" spans="20:59" x14ac:dyDescent="0.3">
      <c r="T47" s="6"/>
      <c r="U47" s="6">
        <v>2012</v>
      </c>
      <c r="V47" s="6">
        <v>2013</v>
      </c>
      <c r="W47" s="6">
        <v>2014</v>
      </c>
      <c r="X47" s="6">
        <v>2015</v>
      </c>
      <c r="Y47" s="6">
        <v>2016</v>
      </c>
      <c r="Z47" s="6">
        <v>2017</v>
      </c>
      <c r="AA47" s="6">
        <v>2018</v>
      </c>
      <c r="AB47" s="6">
        <v>2019</v>
      </c>
      <c r="AC47" s="6">
        <v>2020</v>
      </c>
      <c r="AD47" s="6">
        <v>2021</v>
      </c>
      <c r="AE47" s="6">
        <v>2022</v>
      </c>
      <c r="AF47" s="6">
        <v>2023</v>
      </c>
      <c r="AG47" s="6">
        <v>2024</v>
      </c>
      <c r="AH47" s="6"/>
      <c r="AI47" s="6"/>
      <c r="AJ47" s="6"/>
      <c r="AK47" s="6"/>
      <c r="AL47" s="6"/>
      <c r="AM47" s="6">
        <v>2012</v>
      </c>
      <c r="AN47" s="6">
        <f>AM47+1</f>
        <v>2013</v>
      </c>
      <c r="AO47" s="6">
        <f t="shared" ref="AO47:AY47" si="50">AN47+1</f>
        <v>2014</v>
      </c>
      <c r="AP47" s="6">
        <f t="shared" si="50"/>
        <v>2015</v>
      </c>
      <c r="AQ47" s="6">
        <f t="shared" si="50"/>
        <v>2016</v>
      </c>
      <c r="AR47" s="6">
        <f t="shared" si="50"/>
        <v>2017</v>
      </c>
      <c r="AS47" s="6">
        <f t="shared" si="50"/>
        <v>2018</v>
      </c>
      <c r="AT47" s="6">
        <f t="shared" si="50"/>
        <v>2019</v>
      </c>
      <c r="AU47" s="6">
        <f t="shared" si="50"/>
        <v>2020</v>
      </c>
      <c r="AV47" s="6">
        <f t="shared" si="50"/>
        <v>2021</v>
      </c>
      <c r="AW47" s="6">
        <f t="shared" si="50"/>
        <v>2022</v>
      </c>
      <c r="AX47" s="6">
        <f t="shared" si="50"/>
        <v>2023</v>
      </c>
      <c r="AY47" s="6">
        <f t="shared" si="50"/>
        <v>2024</v>
      </c>
      <c r="AZ47" s="6"/>
      <c r="BA47" s="6"/>
      <c r="BB47" s="6"/>
      <c r="BC47" s="6"/>
      <c r="BD47" s="6"/>
      <c r="BE47" s="6"/>
      <c r="BF47" s="6"/>
      <c r="BG47" s="6"/>
    </row>
    <row r="48" spans="20:59" x14ac:dyDescent="0.3">
      <c r="T48" s="6" t="s">
        <v>79</v>
      </c>
      <c r="U48" s="6">
        <f t="shared" ref="U48:W48" si="51">IF(U51=0,"",U51)</f>
        <v>192</v>
      </c>
      <c r="V48" s="6">
        <f t="shared" si="51"/>
        <v>192</v>
      </c>
      <c r="W48" s="6">
        <f t="shared" si="51"/>
        <v>178</v>
      </c>
      <c r="X48" s="6">
        <f>IF(X51=0,"",X51)</f>
        <v>201</v>
      </c>
      <c r="Y48" s="6">
        <f t="shared" ref="Y48:AG48" si="52">IF(Y51=0,"",Y51)</f>
        <v>163</v>
      </c>
      <c r="Z48" s="6">
        <f t="shared" si="52"/>
        <v>181</v>
      </c>
      <c r="AA48" s="6">
        <f t="shared" si="52"/>
        <v>172</v>
      </c>
      <c r="AB48" s="6">
        <f t="shared" si="52"/>
        <v>181</v>
      </c>
      <c r="AC48" s="6">
        <f t="shared" si="52"/>
        <v>157</v>
      </c>
      <c r="AD48" s="6">
        <f t="shared" si="52"/>
        <v>150</v>
      </c>
      <c r="AE48" s="6">
        <f t="shared" si="52"/>
        <v>157</v>
      </c>
      <c r="AF48" s="6">
        <f t="shared" si="52"/>
        <v>148</v>
      </c>
      <c r="AG48" s="6">
        <f t="shared" si="52"/>
        <v>123</v>
      </c>
      <c r="AH48" s="6"/>
      <c r="AI48" s="6"/>
      <c r="AJ48" s="6"/>
      <c r="AK48" s="6"/>
      <c r="AL48" s="6" t="s">
        <v>79</v>
      </c>
      <c r="AM48" s="6">
        <f t="shared" ref="AM48:AO48" si="53">IF(AM51=0,"",AM51)</f>
        <v>1.7</v>
      </c>
      <c r="AN48" s="6">
        <f t="shared" si="53"/>
        <v>1.7</v>
      </c>
      <c r="AO48" s="6">
        <f t="shared" si="53"/>
        <v>2.25</v>
      </c>
      <c r="AP48" s="6">
        <f>IF(AP51=0,"",AP51)</f>
        <v>1.72</v>
      </c>
      <c r="AQ48" s="6">
        <f t="shared" ref="AQ48:AY48" si="54">IF(AQ51=0,"",AQ51)</f>
        <v>1.63</v>
      </c>
      <c r="AR48" s="6">
        <f t="shared" si="54"/>
        <v>2.19</v>
      </c>
      <c r="AS48" s="6">
        <f t="shared" si="54"/>
        <v>1.69</v>
      </c>
      <c r="AT48" s="6">
        <f t="shared" si="54"/>
        <v>1.7</v>
      </c>
      <c r="AU48" s="6">
        <f t="shared" si="54"/>
        <v>1.98</v>
      </c>
      <c r="AV48" s="6">
        <f t="shared" si="54"/>
        <v>1.7</v>
      </c>
      <c r="AW48" s="6">
        <f t="shared" si="54"/>
        <v>1.7</v>
      </c>
      <c r="AX48" s="6">
        <f t="shared" si="54"/>
        <v>1.96</v>
      </c>
      <c r="AY48" s="6">
        <f t="shared" si="54"/>
        <v>1.7</v>
      </c>
      <c r="AZ48" s="6"/>
      <c r="BA48" s="6"/>
      <c r="BB48" s="6"/>
      <c r="BC48" s="6"/>
      <c r="BD48" s="6"/>
      <c r="BE48" s="6"/>
      <c r="BF48" s="6"/>
      <c r="BG48" s="6"/>
    </row>
    <row r="49" spans="20:59" x14ac:dyDescent="0.3">
      <c r="T49" s="6" t="s">
        <v>80</v>
      </c>
      <c r="U49" s="6">
        <f>VLOOKUP($R$1,WLs!$A$4:$S$23,13,FALSE)</f>
        <v>200</v>
      </c>
      <c r="V49" s="6">
        <f>VLOOKUP($R$1,WLs!$A$4:$S$23,13,FALSE)</f>
        <v>200</v>
      </c>
      <c r="W49" s="6">
        <f>VLOOKUP($R$1,WLs!$A$4:$S$23,13,FALSE)</f>
        <v>200</v>
      </c>
      <c r="X49" s="6">
        <f>VLOOKUP($R$1,WLs!$A$4:$S$23,13,FALSE)</f>
        <v>200</v>
      </c>
      <c r="Y49" s="6">
        <f>X49</f>
        <v>200</v>
      </c>
      <c r="Z49" s="6">
        <f t="shared" ref="Z49:AG49" si="55">Y49</f>
        <v>200</v>
      </c>
      <c r="AA49" s="6">
        <f t="shared" si="55"/>
        <v>200</v>
      </c>
      <c r="AB49" s="6">
        <f t="shared" si="55"/>
        <v>200</v>
      </c>
      <c r="AC49" s="6">
        <f t="shared" si="55"/>
        <v>200</v>
      </c>
      <c r="AD49" s="6">
        <f t="shared" si="55"/>
        <v>200</v>
      </c>
      <c r="AE49" s="6">
        <f t="shared" si="55"/>
        <v>200</v>
      </c>
      <c r="AF49" s="6">
        <f t="shared" si="55"/>
        <v>200</v>
      </c>
      <c r="AG49" s="6">
        <f t="shared" si="55"/>
        <v>200</v>
      </c>
      <c r="AH49" s="6"/>
      <c r="AI49" s="6"/>
      <c r="AJ49" s="6"/>
      <c r="AK49" s="6"/>
      <c r="AL49" s="6" t="s">
        <v>80</v>
      </c>
      <c r="AM49" s="6">
        <f>VLOOKUP($R$1,WLs!$A$4:$S$23,15,FALSE)</f>
        <v>1.7</v>
      </c>
      <c r="AN49" s="6">
        <f>VLOOKUP($R$1,WLs!$A$4:$S$23,15,FALSE)</f>
        <v>1.7</v>
      </c>
      <c r="AO49" s="6">
        <f>VLOOKUP($R$1,WLs!$A$4:$S$23,15,FALSE)</f>
        <v>1.7</v>
      </c>
      <c r="AP49" s="6">
        <f>VLOOKUP($R$1,WLs!$A$4:$S$23,15,FALSE)</f>
        <v>1.7</v>
      </c>
      <c r="AQ49" s="6">
        <f>AP49</f>
        <v>1.7</v>
      </c>
      <c r="AR49" s="6">
        <f t="shared" ref="AR49:AY49" si="56">AQ49</f>
        <v>1.7</v>
      </c>
      <c r="AS49" s="6">
        <f t="shared" si="56"/>
        <v>1.7</v>
      </c>
      <c r="AT49" s="6">
        <f t="shared" si="56"/>
        <v>1.7</v>
      </c>
      <c r="AU49" s="6">
        <f t="shared" si="56"/>
        <v>1.7</v>
      </c>
      <c r="AV49" s="6">
        <f t="shared" si="56"/>
        <v>1.7</v>
      </c>
      <c r="AW49" s="6">
        <f t="shared" si="56"/>
        <v>1.7</v>
      </c>
      <c r="AX49" s="6">
        <f t="shared" si="56"/>
        <v>1.7</v>
      </c>
      <c r="AY49" s="6">
        <f t="shared" si="56"/>
        <v>1.7</v>
      </c>
      <c r="AZ49" s="6"/>
      <c r="BA49" s="6"/>
      <c r="BB49" s="6"/>
      <c r="BC49" s="6"/>
      <c r="BD49" s="6"/>
      <c r="BE49" s="6"/>
      <c r="BF49" s="6"/>
      <c r="BG49" s="6"/>
    </row>
    <row r="50" spans="20:59" x14ac:dyDescent="0.3">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row>
    <row r="51" spans="20:59" x14ac:dyDescent="0.3">
      <c r="T51" s="6" t="s">
        <v>79</v>
      </c>
      <c r="U51" s="6">
        <f>VLOOKUP($R$1,Cl!$A$3:$O$22,U52,FALSE)</f>
        <v>192</v>
      </c>
      <c r="V51" s="6">
        <f>VLOOKUP($R$1,Cl!$A$3:$O$22,V52,FALSE)</f>
        <v>192</v>
      </c>
      <c r="W51" s="6">
        <f>VLOOKUP($R$1,Cl!$A$3:$O$22,W52,FALSE)</f>
        <v>178</v>
      </c>
      <c r="X51" s="6">
        <f>VLOOKUP($R$1,Cl!$A$3:$O$22,X52,FALSE)</f>
        <v>201</v>
      </c>
      <c r="Y51" s="6">
        <f>VLOOKUP($R$1,Cl!$A$3:$O$22,Y52,FALSE)</f>
        <v>163</v>
      </c>
      <c r="Z51" s="6">
        <f>VLOOKUP($R$1,Cl!$A$3:$O$22,Z52,FALSE)</f>
        <v>181</v>
      </c>
      <c r="AA51" s="6">
        <f>VLOOKUP($R$1,Cl!$A$3:$O$22,AA52,FALSE)</f>
        <v>172</v>
      </c>
      <c r="AB51" s="6">
        <f>VLOOKUP($R$1,Cl!$A$3:$O$22,AB52,FALSE)</f>
        <v>181</v>
      </c>
      <c r="AC51" s="6">
        <f>VLOOKUP($R$1,Cl!$A$3:$O$22,AC52,FALSE)</f>
        <v>157</v>
      </c>
      <c r="AD51" s="6">
        <f>VLOOKUP($R$1,Cl!$A$3:$O$22,AD52,FALSE)</f>
        <v>150</v>
      </c>
      <c r="AE51" s="6">
        <f>VLOOKUP($R$1,Cl!$A$3:$O$22,AE52,FALSE)</f>
        <v>157</v>
      </c>
      <c r="AF51" s="6">
        <f>VLOOKUP($R$1,Cl!$A$3:$O$22,AF52,FALSE)</f>
        <v>148</v>
      </c>
      <c r="AG51" s="6">
        <f>VLOOKUP($R$1,Cl!$A$3:$O$22,AG52,FALSE)</f>
        <v>123</v>
      </c>
      <c r="AH51" s="6"/>
      <c r="AI51" s="6"/>
      <c r="AJ51" s="6"/>
      <c r="AK51" s="6"/>
      <c r="AL51" s="6" t="s">
        <v>79</v>
      </c>
      <c r="AM51" s="6">
        <f>VLOOKUP($R$1,DZ!$A$3:$O$22,AM52,FALSE)</f>
        <v>1.7</v>
      </c>
      <c r="AN51" s="6">
        <f>VLOOKUP($R$1,DZ!$A$3:$O$22,AN52,FALSE)</f>
        <v>1.7</v>
      </c>
      <c r="AO51" s="6">
        <f>VLOOKUP($R$1,DZ!$A$3:$O$22,AO52,FALSE)</f>
        <v>2.25</v>
      </c>
      <c r="AP51" s="6">
        <f>VLOOKUP($R$1,DZ!$A$3:$O$22,AP52,FALSE)</f>
        <v>1.72</v>
      </c>
      <c r="AQ51" s="6">
        <f>VLOOKUP($R$1,DZ!$A$3:$O$22,AQ52,FALSE)</f>
        <v>1.63</v>
      </c>
      <c r="AR51" s="6">
        <f>VLOOKUP($R$1,DZ!$A$3:$O$22,AR52,FALSE)</f>
        <v>2.19</v>
      </c>
      <c r="AS51" s="6">
        <f>VLOOKUP($R$1,DZ!$A$3:$O$22,AS52,FALSE)</f>
        <v>1.69</v>
      </c>
      <c r="AT51" s="6">
        <f>VLOOKUP($R$1,DZ!$A$3:$O$22,AT52,FALSE)</f>
        <v>1.7</v>
      </c>
      <c r="AU51" s="6">
        <f>VLOOKUP($R$1,DZ!$A$3:$O$22,AU52,FALSE)</f>
        <v>1.98</v>
      </c>
      <c r="AV51" s="6">
        <f>VLOOKUP($R$1,DZ!$A$3:$O$22,AV52,FALSE)</f>
        <v>1.7</v>
      </c>
      <c r="AW51" s="6">
        <f>VLOOKUP($R$1,DZ!$A$3:$O$22,AW52,FALSE)</f>
        <v>1.7</v>
      </c>
      <c r="AX51" s="6">
        <f>VLOOKUP($R$1,DZ!$A$3:$O$22,AX52,FALSE)</f>
        <v>1.96</v>
      </c>
      <c r="AY51" s="6">
        <f>VLOOKUP($R$1,DZ!$A$3:$O$22,AY52,FALSE)</f>
        <v>1.7</v>
      </c>
      <c r="AZ51" s="6"/>
      <c r="BA51" s="6"/>
      <c r="BB51" s="6"/>
      <c r="BC51" s="6"/>
      <c r="BD51" s="6"/>
      <c r="BE51" s="6"/>
      <c r="BF51" s="6"/>
      <c r="BG51" s="6"/>
    </row>
    <row r="52" spans="20:59" x14ac:dyDescent="0.3">
      <c r="T52" s="6" t="s">
        <v>73</v>
      </c>
      <c r="U52" s="6">
        <v>3</v>
      </c>
      <c r="V52" s="6">
        <f>U52+1</f>
        <v>4</v>
      </c>
      <c r="W52" s="6">
        <f t="shared" ref="W52:AG52" si="57">V52+1</f>
        <v>5</v>
      </c>
      <c r="X52" s="6">
        <f t="shared" si="57"/>
        <v>6</v>
      </c>
      <c r="Y52" s="6">
        <f t="shared" si="57"/>
        <v>7</v>
      </c>
      <c r="Z52" s="6">
        <f t="shared" si="57"/>
        <v>8</v>
      </c>
      <c r="AA52" s="6">
        <f t="shared" si="57"/>
        <v>9</v>
      </c>
      <c r="AB52" s="6">
        <f t="shared" si="57"/>
        <v>10</v>
      </c>
      <c r="AC52" s="6">
        <f t="shared" si="57"/>
        <v>11</v>
      </c>
      <c r="AD52" s="6">
        <f t="shared" si="57"/>
        <v>12</v>
      </c>
      <c r="AE52" s="6">
        <f t="shared" si="57"/>
        <v>13</v>
      </c>
      <c r="AF52" s="6">
        <f t="shared" si="57"/>
        <v>14</v>
      </c>
      <c r="AG52" s="6">
        <f t="shared" si="57"/>
        <v>15</v>
      </c>
      <c r="AH52" s="6"/>
      <c r="AI52" s="6"/>
      <c r="AJ52" s="6"/>
      <c r="AK52" s="6"/>
      <c r="AL52" s="6" t="s">
        <v>73</v>
      </c>
      <c r="AM52" s="6">
        <v>3</v>
      </c>
      <c r="AN52" s="6">
        <f>AM52+1</f>
        <v>4</v>
      </c>
      <c r="AO52" s="6">
        <f t="shared" ref="AO52:AY52" si="58">AN52+1</f>
        <v>5</v>
      </c>
      <c r="AP52" s="6">
        <f t="shared" si="58"/>
        <v>6</v>
      </c>
      <c r="AQ52" s="6">
        <f t="shared" si="58"/>
        <v>7</v>
      </c>
      <c r="AR52" s="6">
        <f t="shared" si="58"/>
        <v>8</v>
      </c>
      <c r="AS52" s="6">
        <f t="shared" si="58"/>
        <v>9</v>
      </c>
      <c r="AT52" s="6">
        <f t="shared" si="58"/>
        <v>10</v>
      </c>
      <c r="AU52" s="6">
        <f t="shared" si="58"/>
        <v>11</v>
      </c>
      <c r="AV52" s="6">
        <f t="shared" si="58"/>
        <v>12</v>
      </c>
      <c r="AW52" s="6">
        <f t="shared" si="58"/>
        <v>13</v>
      </c>
      <c r="AX52" s="6">
        <f t="shared" si="58"/>
        <v>14</v>
      </c>
      <c r="AY52" s="6">
        <f t="shared" si="58"/>
        <v>15</v>
      </c>
      <c r="AZ52" s="6"/>
      <c r="BA52" s="6"/>
      <c r="BB52" s="6"/>
      <c r="BC52" s="6"/>
      <c r="BD52" s="6"/>
      <c r="BE52" s="6"/>
      <c r="BF52" s="6"/>
      <c r="BG52" s="6"/>
    </row>
    <row r="53" spans="20:59" x14ac:dyDescent="0.3">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row>
    <row r="54" spans="20:59" x14ac:dyDescent="0.3">
      <c r="T54" s="6" t="s">
        <v>66</v>
      </c>
      <c r="AL54" s="6" t="s">
        <v>66</v>
      </c>
    </row>
    <row r="55" spans="20:59" x14ac:dyDescent="0.3">
      <c r="T55" s="6" t="s">
        <v>81</v>
      </c>
      <c r="AI55" s="6"/>
      <c r="AL55" s="6" t="s">
        <v>81</v>
      </c>
      <c r="BA55" s="6"/>
    </row>
    <row r="56" spans="20:59" x14ac:dyDescent="0.3">
      <c r="T56" s="6" t="s">
        <v>82</v>
      </c>
      <c r="AI56" s="6"/>
      <c r="AL56" s="6" t="s">
        <v>82</v>
      </c>
      <c r="BA56" s="6"/>
    </row>
    <row r="57" spans="20:59" x14ac:dyDescent="0.3">
      <c r="T57" s="6"/>
      <c r="AL57" s="6"/>
    </row>
    <row r="58" spans="20:59" x14ac:dyDescent="0.3">
      <c r="T58" s="6"/>
      <c r="AL58" s="6"/>
    </row>
    <row r="64" spans="20:59" x14ac:dyDescent="0.3">
      <c r="T64" s="6" t="s">
        <v>85</v>
      </c>
      <c r="U64" s="6"/>
      <c r="V64" s="6"/>
      <c r="W64" s="6"/>
      <c r="X64" s="6"/>
      <c r="Y64" s="6"/>
      <c r="Z64" s="6"/>
      <c r="AA64" s="6"/>
      <c r="AB64" s="6"/>
      <c r="AC64" s="6"/>
      <c r="AD64" s="6"/>
      <c r="AE64" s="6"/>
      <c r="AF64" s="6"/>
      <c r="AG64" s="6"/>
      <c r="AH64" s="6"/>
      <c r="AI64" s="6"/>
      <c r="AJ64" s="6"/>
      <c r="AK64" s="6"/>
      <c r="AL64" s="6" t="s">
        <v>86</v>
      </c>
      <c r="AM64" s="6"/>
      <c r="AN64" s="6"/>
      <c r="AO64" s="6"/>
      <c r="AP64" s="6"/>
      <c r="AQ64" s="6"/>
      <c r="AR64" s="6"/>
      <c r="AS64" s="6"/>
      <c r="AT64" s="6"/>
      <c r="AU64" s="6"/>
      <c r="AV64" s="6"/>
      <c r="AW64" s="6"/>
      <c r="AX64" s="6"/>
      <c r="AY64" s="6"/>
      <c r="AZ64" s="6"/>
      <c r="BA64" s="6"/>
      <c r="BB64" s="6"/>
      <c r="BC64" s="6"/>
      <c r="BD64" s="6"/>
      <c r="BE64" s="6"/>
    </row>
    <row r="65" spans="20:57" x14ac:dyDescent="0.3">
      <c r="T65" s="6"/>
      <c r="U65" s="6">
        <v>2012</v>
      </c>
      <c r="V65" s="6">
        <v>2013</v>
      </c>
      <c r="W65" s="6">
        <v>2014</v>
      </c>
      <c r="X65" s="6">
        <v>2015</v>
      </c>
      <c r="Y65" s="6">
        <v>2016</v>
      </c>
      <c r="Z65" s="6">
        <v>2017</v>
      </c>
      <c r="AA65" s="6">
        <v>2018</v>
      </c>
      <c r="AB65" s="6">
        <v>2019</v>
      </c>
      <c r="AC65" s="6">
        <v>2020</v>
      </c>
      <c r="AD65" s="6">
        <v>2021</v>
      </c>
      <c r="AE65" s="6">
        <v>2022</v>
      </c>
      <c r="AF65" s="6">
        <v>2023</v>
      </c>
      <c r="AG65" s="6">
        <v>2024</v>
      </c>
      <c r="AH65" s="6"/>
      <c r="AI65" s="6"/>
      <c r="AJ65" s="6"/>
      <c r="AK65" s="6"/>
      <c r="AL65" s="6"/>
      <c r="AM65" s="6">
        <v>2012</v>
      </c>
      <c r="AN65" s="6">
        <f>AM65+1</f>
        <v>2013</v>
      </c>
      <c r="AO65" s="6">
        <f t="shared" ref="AO65:AY65" si="59">AN65+1</f>
        <v>2014</v>
      </c>
      <c r="AP65" s="6">
        <f t="shared" si="59"/>
        <v>2015</v>
      </c>
      <c r="AQ65" s="6">
        <f t="shared" si="59"/>
        <v>2016</v>
      </c>
      <c r="AR65" s="6">
        <f t="shared" si="59"/>
        <v>2017</v>
      </c>
      <c r="AS65" s="6">
        <f t="shared" si="59"/>
        <v>2018</v>
      </c>
      <c r="AT65" s="6">
        <f t="shared" si="59"/>
        <v>2019</v>
      </c>
      <c r="AU65" s="6">
        <f t="shared" si="59"/>
        <v>2020</v>
      </c>
      <c r="AV65" s="6">
        <f t="shared" si="59"/>
        <v>2021</v>
      </c>
      <c r="AW65" s="6">
        <f t="shared" si="59"/>
        <v>2022</v>
      </c>
      <c r="AX65" s="6">
        <f t="shared" si="59"/>
        <v>2023</v>
      </c>
      <c r="AY65" s="6">
        <f t="shared" si="59"/>
        <v>2024</v>
      </c>
      <c r="AZ65" s="6"/>
      <c r="BA65" s="6"/>
      <c r="BB65" s="6"/>
      <c r="BC65" s="6"/>
      <c r="BD65" s="6"/>
      <c r="BE65" s="6"/>
    </row>
    <row r="66" spans="20:57" x14ac:dyDescent="0.3">
      <c r="T66" s="6" t="s">
        <v>79</v>
      </c>
      <c r="U66" s="6">
        <f>IF(U69=0,"",U69)</f>
        <v>110</v>
      </c>
      <c r="V66" s="6">
        <f t="shared" ref="V66:W66" si="60">IF(V69=0,"",V69)</f>
        <v>111</v>
      </c>
      <c r="W66" s="6">
        <f t="shared" si="60"/>
        <v>106.9</v>
      </c>
      <c r="X66" s="6">
        <f>IF(X69=0,"",X69)</f>
        <v>97.4</v>
      </c>
      <c r="Y66" s="6">
        <f t="shared" ref="Y66:AG66" si="61">IF(Y69=0,"",Y69)</f>
        <v>102</v>
      </c>
      <c r="Z66" s="6">
        <f t="shared" si="61"/>
        <v>105</v>
      </c>
      <c r="AA66" s="6">
        <f t="shared" si="61"/>
        <v>97.58</v>
      </c>
      <c r="AB66" s="6">
        <f t="shared" si="61"/>
        <v>106.9</v>
      </c>
      <c r="AC66" s="6">
        <f t="shared" si="61"/>
        <v>107.8</v>
      </c>
      <c r="AD66" s="6">
        <f t="shared" si="61"/>
        <v>93.9</v>
      </c>
      <c r="AE66" s="6">
        <f t="shared" si="61"/>
        <v>120.2</v>
      </c>
      <c r="AF66" s="6">
        <f t="shared" si="61"/>
        <v>99.94</v>
      </c>
      <c r="AG66" s="6">
        <f t="shared" si="61"/>
        <v>111.7</v>
      </c>
      <c r="AH66" s="6"/>
      <c r="AI66" s="6"/>
      <c r="AJ66" s="6"/>
      <c r="AK66" s="6"/>
      <c r="AL66" s="6" t="s">
        <v>79</v>
      </c>
      <c r="AM66" s="6">
        <f t="shared" ref="AM66:AO66" si="62">IF(AM69=0,"",AM69)</f>
        <v>8.4309999999999992</v>
      </c>
      <c r="AN66" s="6">
        <f t="shared" si="62"/>
        <v>8.51</v>
      </c>
      <c r="AO66" s="6">
        <f t="shared" si="62"/>
        <v>8.34</v>
      </c>
      <c r="AP66" s="6">
        <f>IF(AP69=0,"",AP69)</f>
        <v>8.33</v>
      </c>
      <c r="AQ66" s="6">
        <f t="shared" ref="AQ66:AY66" si="63">IF(AQ69=0,"",AQ69)</f>
        <v>8.2899999999999991</v>
      </c>
      <c r="AR66" s="6">
        <f t="shared" si="63"/>
        <v>8.32</v>
      </c>
      <c r="AS66" s="6">
        <f t="shared" si="63"/>
        <v>8.2799999999999994</v>
      </c>
      <c r="AT66" s="6">
        <f t="shared" si="63"/>
        <v>8.3000000000000007</v>
      </c>
      <c r="AU66" s="6">
        <f t="shared" si="63"/>
        <v>8.31</v>
      </c>
      <c r="AV66" s="6">
        <f t="shared" si="63"/>
        <v>8.24</v>
      </c>
      <c r="AW66" s="6">
        <f t="shared" si="63"/>
        <v>8.48</v>
      </c>
      <c r="AX66" s="6">
        <f t="shared" si="63"/>
        <v>8.2100000000000009</v>
      </c>
      <c r="AY66" s="6">
        <f t="shared" si="63"/>
        <v>8.32</v>
      </c>
      <c r="AZ66" s="6"/>
      <c r="BA66" s="6"/>
      <c r="BB66" s="6"/>
      <c r="BC66" s="6"/>
      <c r="BD66" s="6"/>
      <c r="BE66" s="6"/>
    </row>
    <row r="67" spans="20:57" x14ac:dyDescent="0.3">
      <c r="T67" s="6" t="s">
        <v>87</v>
      </c>
      <c r="U67" s="6">
        <f>VLOOKUP($R$1,WLs!$A$4:$S$23,18,FALSE)</f>
        <v>60</v>
      </c>
      <c r="V67" s="6">
        <f>VLOOKUP($R$1,WLs!$A$4:$S$23,18,FALSE)</f>
        <v>60</v>
      </c>
      <c r="W67" s="6">
        <f>VLOOKUP($R$1,WLs!$A$4:$S$23,18,FALSE)</f>
        <v>60</v>
      </c>
      <c r="X67" s="6">
        <f>VLOOKUP($R$1,WLs!$A$4:$S$23,18,FALSE)</f>
        <v>60</v>
      </c>
      <c r="Y67" s="6">
        <f>X67</f>
        <v>60</v>
      </c>
      <c r="Z67" s="6">
        <f t="shared" ref="Z67:Z68" si="64">Y67</f>
        <v>60</v>
      </c>
      <c r="AA67" s="6">
        <f t="shared" ref="AA67:AA68" si="65">Z67</f>
        <v>60</v>
      </c>
      <c r="AB67" s="6">
        <f t="shared" ref="AB67:AB68" si="66">AA67</f>
        <v>60</v>
      </c>
      <c r="AC67" s="6">
        <f t="shared" ref="AC67:AC68" si="67">AB67</f>
        <v>60</v>
      </c>
      <c r="AD67" s="6">
        <f t="shared" ref="AD67:AD68" si="68">AC67</f>
        <v>60</v>
      </c>
      <c r="AE67" s="6">
        <f t="shared" ref="AE67:AE68" si="69">AD67</f>
        <v>60</v>
      </c>
      <c r="AF67" s="6">
        <f t="shared" ref="AF67:AF68" si="70">AE67</f>
        <v>60</v>
      </c>
      <c r="AG67" s="6">
        <f t="shared" ref="AG67:AG68" si="71">AF67</f>
        <v>60</v>
      </c>
      <c r="AH67" s="6"/>
      <c r="AI67" s="6"/>
      <c r="AJ67" s="6"/>
      <c r="AK67" s="6"/>
      <c r="AL67" s="6" t="s">
        <v>87</v>
      </c>
      <c r="AM67" s="6">
        <f>VLOOKUP($R$1,WLs!$A$4:$S$23,16,FALSE)</f>
        <v>6.5</v>
      </c>
      <c r="AN67" s="6">
        <f>VLOOKUP($R$1,WLs!$A$4:$S$23,16,FALSE)</f>
        <v>6.5</v>
      </c>
      <c r="AO67" s="6">
        <f>VLOOKUP($R$1,WLs!$A$4:$S$23,16,FALSE)</f>
        <v>6.5</v>
      </c>
      <c r="AP67" s="6">
        <f>VLOOKUP($R$1,WLs!$A$4:$S$23,16,FALSE)</f>
        <v>6.5</v>
      </c>
      <c r="AQ67" s="6">
        <f>AP67</f>
        <v>6.5</v>
      </c>
      <c r="AR67" s="6">
        <f t="shared" ref="AR67" si="72">AQ67</f>
        <v>6.5</v>
      </c>
      <c r="AS67" s="6">
        <f t="shared" ref="AS67" si="73">AR67</f>
        <v>6.5</v>
      </c>
      <c r="AT67" s="6">
        <f t="shared" ref="AT67" si="74">AS67</f>
        <v>6.5</v>
      </c>
      <c r="AU67" s="6">
        <f t="shared" ref="AU67" si="75">AT67</f>
        <v>6.5</v>
      </c>
      <c r="AV67" s="6">
        <f t="shared" ref="AV67" si="76">AU67</f>
        <v>6.5</v>
      </c>
      <c r="AW67" s="6">
        <f t="shared" ref="AW67" si="77">AV67</f>
        <v>6.5</v>
      </c>
      <c r="AX67" s="6">
        <f t="shared" ref="AX67" si="78">AW67</f>
        <v>6.5</v>
      </c>
      <c r="AY67" s="6">
        <f t="shared" ref="AY67" si="79">AX67</f>
        <v>6.5</v>
      </c>
      <c r="AZ67" s="6"/>
      <c r="BA67" s="6"/>
      <c r="BB67" s="6"/>
      <c r="BC67" s="6"/>
      <c r="BD67" s="6"/>
      <c r="BE67" s="6"/>
    </row>
    <row r="68" spans="20:57" x14ac:dyDescent="0.3">
      <c r="T68" s="6" t="s">
        <v>88</v>
      </c>
      <c r="U68" s="6">
        <f>VLOOKUP($R$1,WLs!$A$4:$S$23,19,FALSE)</f>
        <v>120</v>
      </c>
      <c r="V68" s="6">
        <f>VLOOKUP($R$1,WLs!$A$4:$S$23,19,FALSE)</f>
        <v>120</v>
      </c>
      <c r="W68" s="6">
        <f>VLOOKUP($R$1,WLs!$A$4:$S$23,19,FALSE)</f>
        <v>120</v>
      </c>
      <c r="X68" s="6">
        <f>VLOOKUP($R$1,WLs!$A$4:$S$23,19,FALSE)</f>
        <v>120</v>
      </c>
      <c r="Y68" s="6">
        <f>X68</f>
        <v>120</v>
      </c>
      <c r="Z68" s="6">
        <f t="shared" si="64"/>
        <v>120</v>
      </c>
      <c r="AA68" s="6">
        <f t="shared" si="65"/>
        <v>120</v>
      </c>
      <c r="AB68" s="6">
        <f t="shared" si="66"/>
        <v>120</v>
      </c>
      <c r="AC68" s="6">
        <f t="shared" si="67"/>
        <v>120</v>
      </c>
      <c r="AD68" s="6">
        <f t="shared" si="68"/>
        <v>120</v>
      </c>
      <c r="AE68" s="6">
        <f t="shared" si="69"/>
        <v>120</v>
      </c>
      <c r="AF68" s="6">
        <f t="shared" si="70"/>
        <v>120</v>
      </c>
      <c r="AG68" s="6">
        <f t="shared" si="71"/>
        <v>120</v>
      </c>
      <c r="AH68" s="6"/>
      <c r="AI68" s="6"/>
      <c r="AJ68" s="6"/>
      <c r="AK68" s="6"/>
      <c r="AL68" s="6" t="s">
        <v>88</v>
      </c>
      <c r="AM68" s="6">
        <f>VLOOKUP($R$1,WLs!$A$4:$S$23,17,FALSE)</f>
        <v>8.5</v>
      </c>
      <c r="AN68" s="6">
        <f>VLOOKUP($R$1,WLs!$A$4:$S$23,17,FALSE)</f>
        <v>8.5</v>
      </c>
      <c r="AO68" s="6">
        <f>VLOOKUP($R$1,WLs!$A$4:$S$23,17,FALSE)</f>
        <v>8.5</v>
      </c>
      <c r="AP68" s="6">
        <f>VLOOKUP($R$1,WLs!$A$4:$S$23,17,FALSE)</f>
        <v>8.5</v>
      </c>
      <c r="AQ68" s="6">
        <f>AP68</f>
        <v>8.5</v>
      </c>
      <c r="AR68" s="6">
        <f t="shared" ref="AR68" si="80">AQ68</f>
        <v>8.5</v>
      </c>
      <c r="AS68" s="6">
        <f t="shared" ref="AS68" si="81">AR68</f>
        <v>8.5</v>
      </c>
      <c r="AT68" s="6">
        <f t="shared" ref="AT68" si="82">AS68</f>
        <v>8.5</v>
      </c>
      <c r="AU68" s="6">
        <f t="shared" ref="AU68" si="83">AT68</f>
        <v>8.5</v>
      </c>
      <c r="AV68" s="6">
        <f t="shared" ref="AV68" si="84">AU68</f>
        <v>8.5</v>
      </c>
      <c r="AW68" s="6">
        <f t="shared" ref="AW68" si="85">AV68</f>
        <v>8.5</v>
      </c>
      <c r="AX68" s="6">
        <f t="shared" ref="AX68" si="86">AW68</f>
        <v>8.5</v>
      </c>
      <c r="AY68" s="6">
        <f t="shared" ref="AY68" si="87">AX68</f>
        <v>8.5</v>
      </c>
      <c r="AZ68" s="6"/>
      <c r="BA68" s="6"/>
      <c r="BB68" s="6"/>
      <c r="BC68" s="6"/>
      <c r="BD68" s="6"/>
      <c r="BE68" s="6"/>
    </row>
    <row r="69" spans="20:57" x14ac:dyDescent="0.3">
      <c r="T69" s="6" t="s">
        <v>79</v>
      </c>
      <c r="U69" s="6">
        <f>VLOOKUP($R$1,'O2'!$A$3:$O$22,U70,FALSE)</f>
        <v>110</v>
      </c>
      <c r="V69" s="6">
        <f>VLOOKUP($R$1,'O2'!$A$3:$O$22,V70,FALSE)</f>
        <v>111</v>
      </c>
      <c r="W69" s="6">
        <f>VLOOKUP($R$1,'O2'!$A$3:$O$22,W70,FALSE)</f>
        <v>106.9</v>
      </c>
      <c r="X69" s="6">
        <f>VLOOKUP($R$1,'O2'!$A$3:$O$22,X70,FALSE)</f>
        <v>97.4</v>
      </c>
      <c r="Y69" s="6">
        <f>VLOOKUP($R$1,'O2'!$A$3:$O$22,Y70,FALSE)</f>
        <v>102</v>
      </c>
      <c r="Z69" s="6">
        <f>VLOOKUP($R$1,'O2'!$A$3:$O$22,Z70,FALSE)</f>
        <v>105</v>
      </c>
      <c r="AA69" s="6">
        <f>VLOOKUP($R$1,'O2'!$A$3:$O$22,AA70,FALSE)</f>
        <v>97.58</v>
      </c>
      <c r="AB69" s="6">
        <f>VLOOKUP($R$1,'O2'!$A$3:$O$22,AB70,FALSE)</f>
        <v>106.9</v>
      </c>
      <c r="AC69" s="6">
        <f>VLOOKUP($R$1,'O2'!$A$3:$O$22,AC70,FALSE)</f>
        <v>107.8</v>
      </c>
      <c r="AD69" s="6">
        <f>VLOOKUP($R$1,'O2'!$A$3:$O$22,AD70,FALSE)</f>
        <v>93.9</v>
      </c>
      <c r="AE69" s="6">
        <f>VLOOKUP($R$1,'O2'!$A$3:$O$22,AE70,FALSE)</f>
        <v>120.2</v>
      </c>
      <c r="AF69" s="6">
        <f>VLOOKUP($R$1,'O2'!$A$3:$O$22,AF70,FALSE)</f>
        <v>99.94</v>
      </c>
      <c r="AG69" s="6">
        <f>VLOOKUP($R$1,'O2'!$A$3:$O$22,AG70,FALSE)</f>
        <v>111.7</v>
      </c>
      <c r="AH69" s="6"/>
      <c r="AI69" s="6"/>
      <c r="AJ69" s="6"/>
      <c r="AK69" s="6"/>
      <c r="AL69" s="6" t="s">
        <v>79</v>
      </c>
      <c r="AM69" s="6">
        <f>VLOOKUP($R$1,pH!$A$3:$O$22,AM70,FALSE)</f>
        <v>8.4309999999999992</v>
      </c>
      <c r="AN69" s="6">
        <f>VLOOKUP($R$1,pH!$A$3:$O$22,AN70,FALSE)</f>
        <v>8.51</v>
      </c>
      <c r="AO69" s="6">
        <f>VLOOKUP($R$1,pH!$A$3:$O$22,AO70,FALSE)</f>
        <v>8.34</v>
      </c>
      <c r="AP69" s="6">
        <f>VLOOKUP($R$1,pH!$A$3:$O$22,AP70,FALSE)</f>
        <v>8.33</v>
      </c>
      <c r="AQ69" s="6">
        <f>VLOOKUP($R$1,pH!$A$3:$O$22,AQ70,FALSE)</f>
        <v>8.2899999999999991</v>
      </c>
      <c r="AR69" s="6">
        <f>VLOOKUP($R$1,pH!$A$3:$O$22,AR70,FALSE)</f>
        <v>8.32</v>
      </c>
      <c r="AS69" s="6">
        <f>VLOOKUP($R$1,pH!$A$3:$O$22,AS70,FALSE)</f>
        <v>8.2799999999999994</v>
      </c>
      <c r="AT69" s="6">
        <f>VLOOKUP($R$1,pH!$A$3:$O$22,AT70,FALSE)</f>
        <v>8.3000000000000007</v>
      </c>
      <c r="AU69" s="6">
        <f>VLOOKUP($R$1,pH!$A$3:$O$22,AU70,FALSE)</f>
        <v>8.31</v>
      </c>
      <c r="AV69" s="6">
        <f>VLOOKUP($R$1,pH!$A$3:$O$22,AV70,FALSE)</f>
        <v>8.24</v>
      </c>
      <c r="AW69" s="6">
        <f>VLOOKUP($R$1,pH!$A$3:$O$22,AW70,FALSE)</f>
        <v>8.48</v>
      </c>
      <c r="AX69" s="6">
        <f>VLOOKUP($R$1,pH!$A$3:$O$22,AX70,FALSE)</f>
        <v>8.2100000000000009</v>
      </c>
      <c r="AY69" s="6">
        <f>VLOOKUP($R$1,pH!$A$3:$O$22,AY70,FALSE)</f>
        <v>8.32</v>
      </c>
      <c r="AZ69" s="6"/>
      <c r="BA69" s="6"/>
      <c r="BB69" s="6"/>
      <c r="BC69" s="6"/>
      <c r="BD69" s="6"/>
      <c r="BE69" s="6"/>
    </row>
    <row r="70" spans="20:57" x14ac:dyDescent="0.3">
      <c r="T70" s="6" t="s">
        <v>73</v>
      </c>
      <c r="U70" s="6">
        <v>3</v>
      </c>
      <c r="V70" s="6">
        <f>U70+1</f>
        <v>4</v>
      </c>
      <c r="W70" s="6">
        <f t="shared" ref="W70:AG70" si="88">V70+1</f>
        <v>5</v>
      </c>
      <c r="X70" s="6">
        <f t="shared" si="88"/>
        <v>6</v>
      </c>
      <c r="Y70" s="6">
        <f t="shared" si="88"/>
        <v>7</v>
      </c>
      <c r="Z70" s="6">
        <f t="shared" si="88"/>
        <v>8</v>
      </c>
      <c r="AA70" s="6">
        <f t="shared" si="88"/>
        <v>9</v>
      </c>
      <c r="AB70" s="6">
        <f t="shared" si="88"/>
        <v>10</v>
      </c>
      <c r="AC70" s="6">
        <f t="shared" si="88"/>
        <v>11</v>
      </c>
      <c r="AD70" s="6">
        <f t="shared" si="88"/>
        <v>12</v>
      </c>
      <c r="AE70" s="6">
        <f t="shared" si="88"/>
        <v>13</v>
      </c>
      <c r="AF70" s="6">
        <f t="shared" si="88"/>
        <v>14</v>
      </c>
      <c r="AG70" s="6">
        <f t="shared" si="88"/>
        <v>15</v>
      </c>
      <c r="AH70" s="6"/>
      <c r="AI70" s="6"/>
      <c r="AJ70" s="6"/>
      <c r="AK70" s="6"/>
      <c r="AL70" s="6" t="s">
        <v>73</v>
      </c>
      <c r="AM70" s="6">
        <v>3</v>
      </c>
      <c r="AN70" s="6">
        <f>AM70+1</f>
        <v>4</v>
      </c>
      <c r="AO70" s="6">
        <f t="shared" ref="AO70:AY70" si="89">AN70+1</f>
        <v>5</v>
      </c>
      <c r="AP70" s="6">
        <f t="shared" si="89"/>
        <v>6</v>
      </c>
      <c r="AQ70" s="6">
        <f t="shared" si="89"/>
        <v>7</v>
      </c>
      <c r="AR70" s="6">
        <f t="shared" si="89"/>
        <v>8</v>
      </c>
      <c r="AS70" s="6">
        <f t="shared" si="89"/>
        <v>9</v>
      </c>
      <c r="AT70" s="6">
        <f t="shared" si="89"/>
        <v>10</v>
      </c>
      <c r="AU70" s="6">
        <f t="shared" si="89"/>
        <v>11</v>
      </c>
      <c r="AV70" s="6">
        <f t="shared" si="89"/>
        <v>12</v>
      </c>
      <c r="AW70" s="6">
        <f t="shared" si="89"/>
        <v>13</v>
      </c>
      <c r="AX70" s="6">
        <f t="shared" si="89"/>
        <v>14</v>
      </c>
      <c r="AY70" s="6">
        <f t="shared" si="89"/>
        <v>15</v>
      </c>
      <c r="AZ70" s="6"/>
      <c r="BA70" s="6"/>
      <c r="BB70" s="6"/>
      <c r="BC70" s="6"/>
      <c r="BD70" s="6"/>
      <c r="BE70" s="6"/>
    </row>
    <row r="71" spans="20:57" x14ac:dyDescent="0.3">
      <c r="T71" s="6"/>
      <c r="AL71" s="6"/>
    </row>
    <row r="72" spans="20:57" x14ac:dyDescent="0.3">
      <c r="T72" s="6" t="s">
        <v>66</v>
      </c>
      <c r="AL72" s="6" t="s">
        <v>66</v>
      </c>
    </row>
    <row r="73" spans="20:57" x14ac:dyDescent="0.3">
      <c r="T73" s="6" t="s">
        <v>81</v>
      </c>
      <c r="AI73" s="6"/>
      <c r="AL73" s="6" t="s">
        <v>81</v>
      </c>
      <c r="BA73" s="6"/>
    </row>
    <row r="74" spans="20:57" x14ac:dyDescent="0.3">
      <c r="T74" s="6" t="s">
        <v>82</v>
      </c>
      <c r="AI74" s="6"/>
      <c r="AL74" s="6" t="s">
        <v>82</v>
      </c>
      <c r="BA74" s="6"/>
    </row>
    <row r="75" spans="20:57" x14ac:dyDescent="0.3">
      <c r="T75" s="6" t="s">
        <v>89</v>
      </c>
      <c r="AI75" s="6"/>
      <c r="AL75" s="6" t="s">
        <v>89</v>
      </c>
      <c r="BA75" s="6"/>
    </row>
    <row r="82" spans="1:50" ht="15.6" x14ac:dyDescent="0.3">
      <c r="A82" s="176" t="s">
        <v>90</v>
      </c>
      <c r="B82" s="177"/>
      <c r="C82" s="177"/>
      <c r="D82" s="177"/>
      <c r="E82" s="177"/>
      <c r="F82" s="177"/>
      <c r="G82" s="177"/>
      <c r="H82" s="177"/>
      <c r="I82" s="177"/>
      <c r="J82" s="177"/>
      <c r="K82" s="177"/>
      <c r="L82" s="177"/>
      <c r="M82" s="177"/>
      <c r="N82" s="178"/>
      <c r="P82" s="18" t="s">
        <v>76</v>
      </c>
    </row>
    <row r="83" spans="1:50" x14ac:dyDescent="0.3">
      <c r="A83" s="181" t="str">
        <f>A27</f>
        <v>NL37_Weerwater</v>
      </c>
      <c r="B83" s="181"/>
      <c r="C83" s="181" t="str">
        <f>D27</f>
        <v>Weerwater</v>
      </c>
      <c r="D83" s="181"/>
      <c r="E83" s="181"/>
      <c r="F83" s="181"/>
      <c r="G83" s="181"/>
      <c r="H83" s="181"/>
      <c r="I83" s="181"/>
      <c r="J83" s="181"/>
      <c r="K83" s="181"/>
      <c r="L83" s="181"/>
      <c r="M83" s="181"/>
      <c r="N83" s="181"/>
    </row>
    <row r="84" spans="1:50" x14ac:dyDescent="0.3">
      <c r="A84" s="3" t="s">
        <v>91</v>
      </c>
      <c r="B84" s="182" t="str">
        <f>V106</f>
        <v>2010-2016</v>
      </c>
      <c r="C84" s="182"/>
      <c r="D84" s="182"/>
      <c r="E84" s="183"/>
      <c r="F84" s="3" t="s">
        <v>91</v>
      </c>
      <c r="G84" s="182" t="str">
        <f>V106</f>
        <v>2010-2016</v>
      </c>
      <c r="H84" s="182"/>
      <c r="I84" s="182"/>
      <c r="J84" s="183"/>
      <c r="K84" s="181" t="s">
        <v>92</v>
      </c>
      <c r="L84" s="181"/>
      <c r="M84" s="181"/>
      <c r="N84" s="181"/>
      <c r="T84" s="6"/>
      <c r="U84" s="12">
        <v>3</v>
      </c>
      <c r="V84" s="12">
        <f>U84+1</f>
        <v>4</v>
      </c>
      <c r="W84" s="12">
        <f t="shared" ref="W84:AN84" si="90">V84+1</f>
        <v>5</v>
      </c>
      <c r="X84" s="12">
        <f t="shared" si="90"/>
        <v>6</v>
      </c>
      <c r="Y84" s="12">
        <f t="shared" si="90"/>
        <v>7</v>
      </c>
      <c r="Z84" s="12">
        <f t="shared" si="90"/>
        <v>8</v>
      </c>
      <c r="AA84" s="12">
        <f t="shared" si="90"/>
        <v>9</v>
      </c>
      <c r="AB84" s="12">
        <f t="shared" si="90"/>
        <v>10</v>
      </c>
      <c r="AC84" s="12">
        <f t="shared" si="90"/>
        <v>11</v>
      </c>
      <c r="AD84" s="12">
        <f t="shared" si="90"/>
        <v>12</v>
      </c>
      <c r="AE84" s="12">
        <f t="shared" si="90"/>
        <v>13</v>
      </c>
      <c r="AF84" s="12">
        <f t="shared" si="90"/>
        <v>14</v>
      </c>
      <c r="AG84" s="12">
        <f t="shared" si="90"/>
        <v>15</v>
      </c>
      <c r="AH84" s="12">
        <f t="shared" si="90"/>
        <v>16</v>
      </c>
      <c r="AI84" s="12">
        <f t="shared" si="90"/>
        <v>17</v>
      </c>
      <c r="AJ84" s="12">
        <f t="shared" si="90"/>
        <v>18</v>
      </c>
      <c r="AK84" s="12">
        <f t="shared" si="90"/>
        <v>19</v>
      </c>
      <c r="AL84" s="12">
        <f t="shared" si="90"/>
        <v>20</v>
      </c>
      <c r="AM84" s="12">
        <f t="shared" si="90"/>
        <v>21</v>
      </c>
      <c r="AN84" s="12">
        <f t="shared" si="90"/>
        <v>22</v>
      </c>
      <c r="AO84" s="12"/>
    </row>
    <row r="85" spans="1:50" x14ac:dyDescent="0.3">
      <c r="K85" s="17"/>
      <c r="N85" s="15"/>
      <c r="P85" s="14"/>
      <c r="T85" s="6"/>
      <c r="U85" s="13" t="s">
        <v>93</v>
      </c>
      <c r="V85" s="13" t="s">
        <v>94</v>
      </c>
      <c r="W85" s="13" t="s">
        <v>95</v>
      </c>
      <c r="X85" s="13" t="s">
        <v>96</v>
      </c>
      <c r="Y85" s="13" t="s">
        <v>97</v>
      </c>
      <c r="Z85" s="13" t="s">
        <v>98</v>
      </c>
      <c r="AA85" s="13" t="s">
        <v>99</v>
      </c>
      <c r="AB85" s="13" t="s">
        <v>100</v>
      </c>
      <c r="AC85" s="13" t="s">
        <v>101</v>
      </c>
      <c r="AD85" s="13" t="s">
        <v>102</v>
      </c>
      <c r="AE85" s="13" t="s">
        <v>103</v>
      </c>
      <c r="AF85" s="13" t="s">
        <v>104</v>
      </c>
      <c r="AG85" s="13" t="s">
        <v>105</v>
      </c>
      <c r="AH85" s="13" t="s">
        <v>106</v>
      </c>
      <c r="AI85" s="13" t="s">
        <v>107</v>
      </c>
      <c r="AJ85" s="13" t="s">
        <v>108</v>
      </c>
      <c r="AK85" s="13" t="s">
        <v>109</v>
      </c>
      <c r="AL85" s="13" t="s">
        <v>110</v>
      </c>
      <c r="AM85" s="13" t="s">
        <v>111</v>
      </c>
      <c r="AN85" s="13" t="s">
        <v>112</v>
      </c>
      <c r="AO85" s="13"/>
    </row>
    <row r="86" spans="1:50" x14ac:dyDescent="0.3">
      <c r="K86" s="9"/>
      <c r="N86" s="15"/>
      <c r="P86" s="14"/>
      <c r="T86" s="6" t="s">
        <v>113</v>
      </c>
      <c r="U86" s="134" t="e">
        <f>IF($U$106=1,VLOOKUP($R$1,'Bronnen N'!$A$6:$AT$18,U$84,FALSE),VLOOKUP($R$1,'Bronnen N'!$A$6:$AT$18,U$84+24,FALSE))</f>
        <v>#N/A</v>
      </c>
      <c r="V86" s="134" t="e">
        <f>IF($U$106=1,VLOOKUP($R$1,'Bronnen N'!$A$6:$AT$18,V$84,FALSE),VLOOKUP($R$1,'Bronnen N'!$A$6:$AT$18,V$84+24,FALSE))</f>
        <v>#N/A</v>
      </c>
      <c r="W86" s="134" t="e">
        <f>IF($U$106=1,VLOOKUP($R$1,'Bronnen N'!$A$6:$AT$18,W$84,FALSE),VLOOKUP($R$1,'Bronnen N'!$A$6:$AT$18,W$84+24,FALSE))</f>
        <v>#N/A</v>
      </c>
      <c r="X86" s="134" t="e">
        <f>IF($U$106=1,VLOOKUP($R$1,'Bronnen N'!$A$6:$AT$18,X$84,FALSE),VLOOKUP($R$1,'Bronnen N'!$A$6:$AT$18,X$84+24,FALSE))</f>
        <v>#N/A</v>
      </c>
      <c r="Y86" s="134" t="e">
        <f>IF($U$106=1,VLOOKUP($R$1,'Bronnen N'!$A$6:$AT$18,Y$84,FALSE),VLOOKUP($R$1,'Bronnen N'!$A$6:$AT$18,Y$84+24,FALSE))</f>
        <v>#N/A</v>
      </c>
      <c r="Z86" s="134" t="e">
        <f>IF($U$106=1,VLOOKUP($R$1,'Bronnen N'!$A$6:$AT$18,Z$84,FALSE),VLOOKUP($R$1,'Bronnen N'!$A$6:$AT$18,Z$84+24,FALSE))</f>
        <v>#N/A</v>
      </c>
      <c r="AA86" s="134" t="e">
        <f>IF($U$106=1,VLOOKUP($R$1,'Bronnen N'!$A$6:$AT$18,AA$84,FALSE),VLOOKUP($R$1,'Bronnen N'!$A$6:$AT$18,AA$84+24,FALSE))</f>
        <v>#N/A</v>
      </c>
      <c r="AB86" s="134" t="e">
        <f>IF($U$106=1,VLOOKUP($R$1,'Bronnen N'!$A$6:$AT$18,AB$84,FALSE),VLOOKUP($R$1,'Bronnen N'!$A$6:$AT$18,AB$84+24,FALSE))</f>
        <v>#N/A</v>
      </c>
      <c r="AC86" s="134" t="e">
        <f>IF($U$106=1,VLOOKUP($R$1,'Bronnen N'!$A$6:$AT$18,AC$84,FALSE),VLOOKUP($R$1,'Bronnen N'!$A$6:$AT$18,AC$84+24,FALSE))</f>
        <v>#N/A</v>
      </c>
      <c r="AD86" s="134" t="e">
        <f>IF($U$106=1,VLOOKUP($R$1,'Bronnen N'!$A$6:$AT$18,AD$84,FALSE),VLOOKUP($R$1,'Bronnen N'!$A$6:$AT$18,AD$84+24,FALSE))</f>
        <v>#N/A</v>
      </c>
      <c r="AE86" s="134" t="e">
        <f>IF($U$106=1,VLOOKUP($R$1,'Bronnen N'!$A$6:$AT$18,AE$84,FALSE),VLOOKUP($R$1,'Bronnen N'!$A$6:$AT$18,AE$84+24,FALSE))</f>
        <v>#N/A</v>
      </c>
      <c r="AF86" s="134" t="e">
        <f>IF($U$106=1,VLOOKUP($R$1,'Bronnen N'!$A$6:$AT$18,AF$84,FALSE),VLOOKUP($R$1,'Bronnen N'!$A$6:$AT$18,AF$84+24,FALSE))</f>
        <v>#N/A</v>
      </c>
      <c r="AG86" s="134" t="e">
        <f>IF($U$106=1,VLOOKUP($R$1,'Bronnen N'!$A$6:$AT$18,AG$84,FALSE),VLOOKUP($R$1,'Bronnen N'!$A$6:$AT$18,AG$84+24,FALSE))</f>
        <v>#N/A</v>
      </c>
      <c r="AH86" s="134" t="e">
        <f>IF($U$106=1,VLOOKUP($R$1,'Bronnen N'!$A$6:$AT$18,AH$84,FALSE),VLOOKUP($R$1,'Bronnen N'!$A$6:$AT$18,AH$84+24,FALSE))</f>
        <v>#N/A</v>
      </c>
      <c r="AI86" s="134" t="e">
        <f>IF($U$106=1,VLOOKUP($R$1,'Bronnen N'!$A$6:$AT$18,AI$84,FALSE),VLOOKUP($R$1,'Bronnen N'!$A$6:$AT$18,AI$84+24,FALSE))</f>
        <v>#N/A</v>
      </c>
      <c r="AJ86" s="134" t="e">
        <f>IF($U$106=1,VLOOKUP($R$1,'Bronnen N'!$A$6:$AT$18,AJ$84,FALSE),VLOOKUP($R$1,'Bronnen N'!$A$6:$AT$18,AJ$84+24,FALSE))</f>
        <v>#N/A</v>
      </c>
      <c r="AK86" s="134" t="e">
        <f>IF($U$106=1,VLOOKUP($R$1,'Bronnen N'!$A$6:$AT$18,AK$84,FALSE),VLOOKUP($R$1,'Bronnen N'!$A$6:$AT$18,AK$84+24,FALSE))</f>
        <v>#N/A</v>
      </c>
      <c r="AL86" s="134" t="e">
        <f>IF($U$106=1,VLOOKUP($R$1,'Bronnen N'!$A$6:$AT$18,AL$84,FALSE),VLOOKUP($R$1,'Bronnen N'!$A$6:$AT$18,AL$84+24,FALSE))</f>
        <v>#N/A</v>
      </c>
      <c r="AM86" s="134" t="e">
        <f>IF($U$106=1,VLOOKUP($R$1,'Bronnen N'!$A$6:$AT$18,AM$84,FALSE),VLOOKUP($R$1,'Bronnen N'!$A$6:$AT$18,AM$84+24,FALSE))</f>
        <v>#N/A</v>
      </c>
      <c r="AN86" s="134" t="e">
        <f>IF($U$106=1,VLOOKUP($R$1,'Bronnen N'!$A$6:$AT$18,AN$84,FALSE),VLOOKUP($R$1,'Bronnen N'!$A$6:$AT$18,AN$84+24,FALSE))</f>
        <v>#N/A</v>
      </c>
      <c r="AO86" s="13"/>
    </row>
    <row r="87" spans="1:50" x14ac:dyDescent="0.3">
      <c r="K87" s="9"/>
      <c r="N87" s="15"/>
      <c r="P87" s="14"/>
      <c r="T87" s="6" t="s">
        <v>114</v>
      </c>
      <c r="U87" s="134" t="e">
        <f>IF($U$106=1,VLOOKUP($R$1,'Bronnen N'!$A$24:$AT$36,U$84,FALSE),VLOOKUP($R$1,'Bronnen N'!$A$24:$AT$36,U$84+24,FALSE))</f>
        <v>#N/A</v>
      </c>
      <c r="V87" s="134" t="e">
        <f>IF($U$106=1,VLOOKUP($R$1,'Bronnen N'!$A$24:$AT$36,V$84,FALSE),VLOOKUP($R$1,'Bronnen N'!$A$24:$AT$36,V$84+24,FALSE))</f>
        <v>#N/A</v>
      </c>
      <c r="W87" s="134" t="e">
        <f>IF($U$106=1,VLOOKUP($R$1,'Bronnen N'!$A$24:$AT$36,W$84,FALSE),VLOOKUP($R$1,'Bronnen N'!$A$24:$AT$36,W$84+24,FALSE))</f>
        <v>#N/A</v>
      </c>
      <c r="X87" s="134" t="e">
        <f>IF($U$106=1,VLOOKUP($R$1,'Bronnen N'!$A$24:$AT$36,X$84,FALSE),VLOOKUP($R$1,'Bronnen N'!$A$24:$AT$36,X$84+24,FALSE))</f>
        <v>#N/A</v>
      </c>
      <c r="Y87" s="134" t="e">
        <f>IF($U$106=1,VLOOKUP($R$1,'Bronnen N'!$A$24:$AT$36,Y$84,FALSE),VLOOKUP($R$1,'Bronnen N'!$A$24:$AT$36,Y$84+24,FALSE))</f>
        <v>#N/A</v>
      </c>
      <c r="Z87" s="134" t="e">
        <f>IF($U$106=1,VLOOKUP($R$1,'Bronnen N'!$A$24:$AT$36,Z$84,FALSE),VLOOKUP($R$1,'Bronnen N'!$A$24:$AT$36,Z$84+24,FALSE))</f>
        <v>#N/A</v>
      </c>
      <c r="AA87" s="134" t="e">
        <f>IF($U$106=1,VLOOKUP($R$1,'Bronnen N'!$A$24:$AT$36,AA$84,FALSE),VLOOKUP($R$1,'Bronnen N'!$A$24:$AT$36,AA$84+24,FALSE))</f>
        <v>#N/A</v>
      </c>
      <c r="AB87" s="134" t="e">
        <f>IF($U$106=1,VLOOKUP($R$1,'Bronnen N'!$A$24:$AT$36,AB$84,FALSE),VLOOKUP($R$1,'Bronnen N'!$A$24:$AT$36,AB$84+24,FALSE))</f>
        <v>#N/A</v>
      </c>
      <c r="AC87" s="134" t="e">
        <f>IF($U$106=1,VLOOKUP($R$1,'Bronnen N'!$A$24:$AT$36,AC$84,FALSE),VLOOKUP($R$1,'Bronnen N'!$A$24:$AT$36,AC$84+24,FALSE))</f>
        <v>#N/A</v>
      </c>
      <c r="AD87" s="134" t="e">
        <f>IF($U$106=1,VLOOKUP($R$1,'Bronnen N'!$A$24:$AT$36,AD$84,FALSE),VLOOKUP($R$1,'Bronnen N'!$A$24:$AT$36,AD$84+24,FALSE))</f>
        <v>#N/A</v>
      </c>
      <c r="AE87" s="134" t="e">
        <f>IF($U$106=1,VLOOKUP($R$1,'Bronnen N'!$A$24:$AT$36,AE$84,FALSE),VLOOKUP($R$1,'Bronnen N'!$A$24:$AT$36,AE$84+24,FALSE))</f>
        <v>#N/A</v>
      </c>
      <c r="AF87" s="134" t="e">
        <f>IF($U$106=1,VLOOKUP($R$1,'Bronnen N'!$A$24:$AT$36,AF$84,FALSE),VLOOKUP($R$1,'Bronnen N'!$A$24:$AT$36,AF$84+24,FALSE))</f>
        <v>#N/A</v>
      </c>
      <c r="AG87" s="134" t="e">
        <f>IF($U$106=1,VLOOKUP($R$1,'Bronnen N'!$A$24:$AT$36,AG$84,FALSE),VLOOKUP($R$1,'Bronnen N'!$A$24:$AT$36,AG$84+24,FALSE))</f>
        <v>#N/A</v>
      </c>
      <c r="AH87" s="134" t="e">
        <f>IF($U$106=1,VLOOKUP($R$1,'Bronnen N'!$A$24:$AT$36,AH$84,FALSE),VLOOKUP($R$1,'Bronnen N'!$A$24:$AT$36,AH$84+24,FALSE))</f>
        <v>#N/A</v>
      </c>
      <c r="AI87" s="134" t="e">
        <f>IF($U$106=1,VLOOKUP($R$1,'Bronnen N'!$A$24:$AT$36,AI$84,FALSE),VLOOKUP($R$1,'Bronnen N'!$A$24:$AT$36,AI$84+24,FALSE))</f>
        <v>#N/A</v>
      </c>
      <c r="AJ87" s="134" t="e">
        <f>IF($U$106=1,VLOOKUP($R$1,'Bronnen N'!$A$24:$AT$36,AJ$84,FALSE),VLOOKUP($R$1,'Bronnen N'!$A$24:$AT$36,AJ$84+24,FALSE))</f>
        <v>#N/A</v>
      </c>
      <c r="AK87" s="134" t="e">
        <f>IF($U$106=1,VLOOKUP($R$1,'Bronnen N'!$A$24:$AT$36,AK$84,FALSE),VLOOKUP($R$1,'Bronnen N'!$A$24:$AT$36,AK$84+24,FALSE))</f>
        <v>#N/A</v>
      </c>
      <c r="AL87" s="134" t="e">
        <f>IF($U$106=1,VLOOKUP($R$1,'Bronnen N'!$A$24:$AT$36,AL$84,FALSE),VLOOKUP($R$1,'Bronnen N'!$A$24:$AT$36,AL$84+24,FALSE))</f>
        <v>#N/A</v>
      </c>
      <c r="AM87" s="134" t="e">
        <f>IF($U$106=1,VLOOKUP($R$1,'Bronnen N'!$A$24:$AT$36,AM$84,FALSE),VLOOKUP($R$1,'Bronnen N'!$A$24:$AT$36,AM$84+24,FALSE))</f>
        <v>#N/A</v>
      </c>
      <c r="AN87" s="134" t="e">
        <f>IF($U$106=1,VLOOKUP($R$1,'Bronnen N'!$A$24:$AT$36,AN$84,FALSE),VLOOKUP($R$1,'Bronnen N'!$A$24:$AT$36,AN$84+24,FALSE))</f>
        <v>#N/A</v>
      </c>
      <c r="AO87" s="6"/>
    </row>
    <row r="88" spans="1:50" x14ac:dyDescent="0.3">
      <c r="K88" s="9"/>
      <c r="N88" s="15"/>
      <c r="P88" s="14"/>
      <c r="T88" s="6" t="s">
        <v>113</v>
      </c>
      <c r="U88" s="134" t="e">
        <f>IF($U$106=1,VLOOKUP($R$1,'Bronnen P'!$A$6:$AT$18,U$84,FALSE),VLOOKUP($R$1,'Bronnen P'!$A$6:$AT$18,U$84+24,FALSE))</f>
        <v>#N/A</v>
      </c>
      <c r="V88" s="134" t="e">
        <f>IF($U$106=1,VLOOKUP($R$1,'Bronnen P'!$A$6:$AT$18,V$84,FALSE),VLOOKUP($R$1,'Bronnen P'!$A$6:$AT$18,V$84+24,FALSE))</f>
        <v>#N/A</v>
      </c>
      <c r="W88" s="134" t="e">
        <f>IF($U$106=1,VLOOKUP($R$1,'Bronnen P'!$A$6:$AT$18,W$84,FALSE),VLOOKUP($R$1,'Bronnen P'!$A$6:$AT$18,W$84+24,FALSE))</f>
        <v>#N/A</v>
      </c>
      <c r="X88" s="134" t="e">
        <f>IF($U$106=1,VLOOKUP($R$1,'Bronnen P'!$A$6:$AT$18,X$84,FALSE),VLOOKUP($R$1,'Bronnen P'!$A$6:$AT$18,X$84+24,FALSE))</f>
        <v>#N/A</v>
      </c>
      <c r="Y88" s="134" t="e">
        <f>IF($U$106=1,VLOOKUP($R$1,'Bronnen P'!$A$6:$AT$18,Y$84,FALSE),VLOOKUP($R$1,'Bronnen P'!$A$6:$AT$18,Y$84+24,FALSE))</f>
        <v>#N/A</v>
      </c>
      <c r="Z88" s="134" t="e">
        <f>IF($U$106=1,VLOOKUP($R$1,'Bronnen P'!$A$6:$AT$18,Z$84,FALSE),VLOOKUP($R$1,'Bronnen P'!$A$6:$AT$18,Z$84+24,FALSE))</f>
        <v>#N/A</v>
      </c>
      <c r="AA88" s="134" t="e">
        <f>IF($U$106=1,VLOOKUP($R$1,'Bronnen P'!$A$6:$AT$18,AA$84,FALSE),VLOOKUP($R$1,'Bronnen P'!$A$6:$AT$18,AA$84+24,FALSE))</f>
        <v>#N/A</v>
      </c>
      <c r="AB88" s="134" t="e">
        <f>IF($U$106=1,VLOOKUP($R$1,'Bronnen P'!$A$6:$AT$18,AB$84,FALSE),VLOOKUP($R$1,'Bronnen P'!$A$6:$AT$18,AB$84+24,FALSE))</f>
        <v>#N/A</v>
      </c>
      <c r="AC88" s="134" t="e">
        <f>IF($U$106=1,VLOOKUP($R$1,'Bronnen P'!$A$6:$AT$18,AC$84,FALSE),VLOOKUP($R$1,'Bronnen P'!$A$6:$AT$18,AC$84+24,FALSE))</f>
        <v>#N/A</v>
      </c>
      <c r="AD88" s="134" t="e">
        <f>IF($U$106=1,VLOOKUP($R$1,'Bronnen P'!$A$6:$AT$18,AD$84,FALSE),VLOOKUP($R$1,'Bronnen P'!$A$6:$AT$18,AD$84+24,FALSE))</f>
        <v>#N/A</v>
      </c>
      <c r="AE88" s="134" t="e">
        <f>IF($U$106=1,VLOOKUP($R$1,'Bronnen P'!$A$6:$AT$18,AE$84,FALSE),VLOOKUP($R$1,'Bronnen P'!$A$6:$AT$18,AE$84+24,FALSE))</f>
        <v>#N/A</v>
      </c>
      <c r="AF88" s="134" t="e">
        <f>IF($U$106=1,VLOOKUP($R$1,'Bronnen P'!$A$6:$AT$18,AF$84,FALSE),VLOOKUP($R$1,'Bronnen P'!$A$6:$AT$18,AF$84+24,FALSE))</f>
        <v>#N/A</v>
      </c>
      <c r="AG88" s="134" t="e">
        <f>IF($U$106=1,VLOOKUP($R$1,'Bronnen P'!$A$6:$AT$18,AG$84,FALSE),VLOOKUP($R$1,'Bronnen P'!$A$6:$AT$18,AG$84+24,FALSE))</f>
        <v>#N/A</v>
      </c>
      <c r="AH88" s="134" t="e">
        <f>IF($U$106=1,VLOOKUP($R$1,'Bronnen P'!$A$6:$AT$18,AH$84,FALSE),VLOOKUP($R$1,'Bronnen P'!$A$6:$AT$18,AH$84+24,FALSE))</f>
        <v>#N/A</v>
      </c>
      <c r="AI88" s="134" t="e">
        <f>IF($U$106=1,VLOOKUP($R$1,'Bronnen P'!$A$6:$AT$18,AI$84,FALSE),VLOOKUP($R$1,'Bronnen P'!$A$6:$AT$18,AI$84+24,FALSE))</f>
        <v>#N/A</v>
      </c>
      <c r="AJ88" s="134" t="e">
        <f>IF($U$106=1,VLOOKUP($R$1,'Bronnen P'!$A$6:$AT$18,AJ$84,FALSE),VLOOKUP($R$1,'Bronnen P'!$A$6:$AT$18,AJ$84+24,FALSE))</f>
        <v>#N/A</v>
      </c>
      <c r="AK88" s="134" t="e">
        <f>IF($U$106=1,VLOOKUP($R$1,'Bronnen P'!$A$6:$AT$18,AK$84,FALSE),VLOOKUP($R$1,'Bronnen P'!$A$6:$AT$18,AK$84+24,FALSE))</f>
        <v>#N/A</v>
      </c>
      <c r="AL88" s="134" t="e">
        <f>IF($U$106=1,VLOOKUP($R$1,'Bronnen P'!$A$6:$AT$18,AL$84,FALSE),VLOOKUP($R$1,'Bronnen P'!$A$6:$AT$18,AL$84+24,FALSE))</f>
        <v>#N/A</v>
      </c>
      <c r="AM88" s="134" t="e">
        <f>IF($U$106=1,VLOOKUP($R$1,'Bronnen P'!$A$6:$AT$18,AM$84,FALSE),VLOOKUP($R$1,'Bronnen P'!$A$6:$AT$18,AM$84+24,FALSE))</f>
        <v>#N/A</v>
      </c>
      <c r="AN88" s="134" t="e">
        <f>IF($U$106=1,VLOOKUP($R$1,'Bronnen P'!$A$6:$AT$18,AN$84,FALSE),VLOOKUP($R$1,'Bronnen P'!$A$6:$AT$18,AN$84+24,FALSE))</f>
        <v>#N/A</v>
      </c>
      <c r="AO88" s="13"/>
    </row>
    <row r="89" spans="1:50" x14ac:dyDescent="0.3">
      <c r="K89" s="9"/>
      <c r="M89" s="13"/>
      <c r="N89" s="15"/>
      <c r="P89" s="14"/>
      <c r="T89" s="6" t="s">
        <v>114</v>
      </c>
      <c r="U89" s="134" t="e">
        <f>IF($U$106=1,VLOOKUP($R$1,'Bronnen P'!$A$24:$AT$36,U$84,FALSE),VLOOKUP($R$1,'Bronnen P'!$A$24:$AT$36,U$84+24,FALSE))</f>
        <v>#N/A</v>
      </c>
      <c r="V89" s="134" t="e">
        <f>IF($U$106=1,VLOOKUP($R$1,'Bronnen P'!$A$24:$AT$36,V$84,FALSE),VLOOKUP($R$1,'Bronnen P'!$A$24:$AT$36,V$84+24,FALSE))</f>
        <v>#N/A</v>
      </c>
      <c r="W89" s="134" t="e">
        <f>IF($U$106=1,VLOOKUP($R$1,'Bronnen P'!$A$24:$AT$36,W$84,FALSE),VLOOKUP($R$1,'Bronnen P'!$A$24:$AT$36,W$84+24,FALSE))</f>
        <v>#N/A</v>
      </c>
      <c r="X89" s="134" t="e">
        <f>IF($U$106=1,VLOOKUP($R$1,'Bronnen P'!$A$24:$AT$36,X$84,FALSE),VLOOKUP($R$1,'Bronnen P'!$A$24:$AT$36,X$84+24,FALSE))</f>
        <v>#N/A</v>
      </c>
      <c r="Y89" s="134" t="e">
        <f>IF($U$106=1,VLOOKUP($R$1,'Bronnen P'!$A$24:$AT$36,Y$84,FALSE),VLOOKUP($R$1,'Bronnen P'!$A$24:$AT$36,Y$84+24,FALSE))</f>
        <v>#N/A</v>
      </c>
      <c r="Z89" s="134" t="e">
        <f>IF($U$106=1,VLOOKUP($R$1,'Bronnen P'!$A$24:$AT$36,Z$84,FALSE),VLOOKUP($R$1,'Bronnen P'!$A$24:$AT$36,Z$84+24,FALSE))</f>
        <v>#N/A</v>
      </c>
      <c r="AA89" s="134" t="e">
        <f>IF($U$106=1,VLOOKUP($R$1,'Bronnen P'!$A$24:$AT$36,AA$84,FALSE),VLOOKUP($R$1,'Bronnen P'!$A$24:$AT$36,AA$84+24,FALSE))</f>
        <v>#N/A</v>
      </c>
      <c r="AB89" s="134" t="e">
        <f>IF($U$106=1,VLOOKUP($R$1,'Bronnen P'!$A$24:$AT$36,AB$84,FALSE),VLOOKUP($R$1,'Bronnen P'!$A$24:$AT$36,AB$84+24,FALSE))</f>
        <v>#N/A</v>
      </c>
      <c r="AC89" s="134" t="e">
        <f>IF($U$106=1,VLOOKUP($R$1,'Bronnen P'!$A$24:$AT$36,AC$84,FALSE),VLOOKUP($R$1,'Bronnen P'!$A$24:$AT$36,AC$84+24,FALSE))</f>
        <v>#N/A</v>
      </c>
      <c r="AD89" s="134" t="e">
        <f>IF($U$106=1,VLOOKUP($R$1,'Bronnen P'!$A$24:$AT$36,AD$84,FALSE),VLOOKUP($R$1,'Bronnen P'!$A$24:$AT$36,AD$84+24,FALSE))</f>
        <v>#N/A</v>
      </c>
      <c r="AE89" s="134" t="e">
        <f>IF($U$106=1,VLOOKUP($R$1,'Bronnen P'!$A$24:$AT$36,AE$84,FALSE),VLOOKUP($R$1,'Bronnen P'!$A$24:$AT$36,AE$84+24,FALSE))</f>
        <v>#N/A</v>
      </c>
      <c r="AF89" s="134" t="e">
        <f>IF($U$106=1,VLOOKUP($R$1,'Bronnen P'!$A$24:$AT$36,AF$84,FALSE),VLOOKUP($R$1,'Bronnen P'!$A$24:$AT$36,AF$84+24,FALSE))</f>
        <v>#N/A</v>
      </c>
      <c r="AG89" s="134" t="e">
        <f>IF($U$106=1,VLOOKUP($R$1,'Bronnen P'!$A$24:$AT$36,AG$84,FALSE),VLOOKUP($R$1,'Bronnen P'!$A$24:$AT$36,AG$84+24,FALSE))</f>
        <v>#N/A</v>
      </c>
      <c r="AH89" s="134" t="e">
        <f>IF($U$106=1,VLOOKUP($R$1,'Bronnen P'!$A$24:$AT$36,AH$84,FALSE),VLOOKUP($R$1,'Bronnen P'!$A$24:$AT$36,AH$84+24,FALSE))</f>
        <v>#N/A</v>
      </c>
      <c r="AI89" s="134" t="e">
        <f>IF($U$106=1,VLOOKUP($R$1,'Bronnen P'!$A$24:$AT$36,AI$84,FALSE),VLOOKUP($R$1,'Bronnen P'!$A$24:$AT$36,AI$84+24,FALSE))</f>
        <v>#N/A</v>
      </c>
      <c r="AJ89" s="134" t="e">
        <f>IF($U$106=1,VLOOKUP($R$1,'Bronnen P'!$A$24:$AT$36,AJ$84,FALSE),VLOOKUP($R$1,'Bronnen P'!$A$24:$AT$36,AJ$84+24,FALSE))</f>
        <v>#N/A</v>
      </c>
      <c r="AK89" s="134" t="e">
        <f>IF($U$106=1,VLOOKUP($R$1,'Bronnen P'!$A$24:$AT$36,AK$84,FALSE),VLOOKUP($R$1,'Bronnen P'!$A$24:$AT$36,AK$84+24,FALSE))</f>
        <v>#N/A</v>
      </c>
      <c r="AL89" s="134" t="e">
        <f>IF($U$106=1,VLOOKUP($R$1,'Bronnen P'!$A$24:$AT$36,AL$84,FALSE),VLOOKUP($R$1,'Bronnen P'!$A$24:$AT$36,AL$84+24,FALSE))</f>
        <v>#N/A</v>
      </c>
      <c r="AM89" s="134" t="e">
        <f>IF($U$106=1,VLOOKUP($R$1,'Bronnen P'!$A$24:$AT$36,AM$84,FALSE),VLOOKUP($R$1,'Bronnen P'!$A$24:$AT$36,AM$84+24,FALSE))</f>
        <v>#N/A</v>
      </c>
      <c r="AN89" s="134" t="e">
        <f>IF($U$106=1,VLOOKUP($R$1,'Bronnen P'!$A$24:$AT$36,AN$84,FALSE),VLOOKUP($R$1,'Bronnen P'!$A$24:$AT$36,AN$84+24,FALSE))</f>
        <v>#N/A</v>
      </c>
      <c r="AO89" s="6"/>
    </row>
    <row r="90" spans="1:50" x14ac:dyDescent="0.3">
      <c r="K90" s="9"/>
      <c r="M90" s="13"/>
      <c r="N90" s="15"/>
      <c r="P90" s="14"/>
      <c r="T90" s="6"/>
    </row>
    <row r="91" spans="1:50" x14ac:dyDescent="0.3">
      <c r="K91" s="9"/>
      <c r="M91" s="13"/>
      <c r="N91" s="15"/>
      <c r="P91" s="14"/>
      <c r="U91" s="13" t="s">
        <v>93</v>
      </c>
      <c r="V91" s="13" t="s">
        <v>94</v>
      </c>
      <c r="W91" s="13" t="s">
        <v>95</v>
      </c>
      <c r="X91" s="13" t="s">
        <v>96</v>
      </c>
      <c r="Y91" s="13" t="s">
        <v>97</v>
      </c>
      <c r="Z91" s="13" t="s">
        <v>98</v>
      </c>
      <c r="AA91" s="13" t="s">
        <v>115</v>
      </c>
      <c r="AB91" s="13" t="s">
        <v>100</v>
      </c>
      <c r="AC91" s="13" t="s">
        <v>116</v>
      </c>
      <c r="AD91" s="13" t="s">
        <v>117</v>
      </c>
      <c r="AE91" s="13" t="s">
        <v>118</v>
      </c>
      <c r="AF91" s="13" t="s">
        <v>104</v>
      </c>
      <c r="AG91" s="13" t="s">
        <v>105</v>
      </c>
      <c r="AH91" s="13" t="s">
        <v>106</v>
      </c>
      <c r="AI91" s="13" t="s">
        <v>107</v>
      </c>
      <c r="AJ91" s="13" t="s">
        <v>119</v>
      </c>
      <c r="AK91" s="13" t="s">
        <v>120</v>
      </c>
      <c r="AL91" s="13" t="s">
        <v>121</v>
      </c>
      <c r="AM91" s="13" t="s">
        <v>111</v>
      </c>
      <c r="AN91" s="13" t="s">
        <v>112</v>
      </c>
      <c r="AO91" s="6"/>
      <c r="AP91" s="6"/>
      <c r="AQ91" s="6"/>
      <c r="AR91" s="6"/>
      <c r="AS91" s="6"/>
      <c r="AT91" s="6"/>
      <c r="AU91" s="6"/>
      <c r="AV91" s="6"/>
      <c r="AW91" s="6"/>
      <c r="AX91" s="6"/>
    </row>
    <row r="92" spans="1:50" ht="15.6" x14ac:dyDescent="0.3">
      <c r="K92" s="93"/>
      <c r="M92" s="13"/>
      <c r="N92" s="15"/>
      <c r="P92" s="14"/>
      <c r="T92" s="6" t="s">
        <v>92</v>
      </c>
      <c r="U92" s="135">
        <v>1</v>
      </c>
      <c r="V92" s="135">
        <v>1</v>
      </c>
      <c r="W92" s="135">
        <v>1</v>
      </c>
      <c r="X92" s="135">
        <v>1</v>
      </c>
      <c r="Y92" s="135">
        <v>1</v>
      </c>
      <c r="Z92" s="135">
        <v>1</v>
      </c>
      <c r="AA92" s="135">
        <v>1</v>
      </c>
      <c r="AB92" s="135">
        <v>1</v>
      </c>
      <c r="AC92" s="135">
        <v>1</v>
      </c>
      <c r="AD92" s="135">
        <v>1</v>
      </c>
      <c r="AE92" s="135">
        <v>1</v>
      </c>
      <c r="AF92" s="135">
        <v>1</v>
      </c>
      <c r="AG92" s="135">
        <v>1</v>
      </c>
      <c r="AH92" s="135">
        <v>1</v>
      </c>
      <c r="AI92" s="135">
        <v>1</v>
      </c>
      <c r="AJ92" s="135">
        <v>1</v>
      </c>
      <c r="AK92" s="135">
        <v>1</v>
      </c>
      <c r="AL92" s="135">
        <v>1</v>
      </c>
      <c r="AM92" s="135">
        <v>1</v>
      </c>
      <c r="AN92" s="135">
        <v>1</v>
      </c>
      <c r="AO92" s="135"/>
    </row>
    <row r="93" spans="1:50" x14ac:dyDescent="0.3">
      <c r="K93" s="9"/>
      <c r="M93" s="13"/>
      <c r="N93" s="15"/>
      <c r="P93" s="14"/>
    </row>
    <row r="94" spans="1:50" x14ac:dyDescent="0.3">
      <c r="K94" s="9"/>
      <c r="L94" s="92" t="s">
        <v>112</v>
      </c>
      <c r="N94" s="15"/>
      <c r="P94" s="14"/>
    </row>
    <row r="95" spans="1:50" x14ac:dyDescent="0.3">
      <c r="K95" s="9"/>
      <c r="L95" s="92" t="s">
        <v>111</v>
      </c>
      <c r="N95" s="15"/>
      <c r="P95" s="14"/>
    </row>
    <row r="96" spans="1:50" x14ac:dyDescent="0.3">
      <c r="K96" s="9"/>
      <c r="L96" s="92" t="s">
        <v>121</v>
      </c>
      <c r="N96" s="15"/>
      <c r="P96" s="14"/>
    </row>
    <row r="97" spans="11:22" x14ac:dyDescent="0.3">
      <c r="K97" s="9"/>
      <c r="L97" s="92" t="s">
        <v>120</v>
      </c>
      <c r="N97" s="15"/>
      <c r="P97" s="14"/>
    </row>
    <row r="98" spans="11:22" x14ac:dyDescent="0.3">
      <c r="K98" s="9"/>
      <c r="L98" s="92" t="s">
        <v>119</v>
      </c>
      <c r="N98" s="15"/>
      <c r="P98" s="14"/>
    </row>
    <row r="99" spans="11:22" x14ac:dyDescent="0.3">
      <c r="K99" s="9"/>
      <c r="L99" s="92" t="s">
        <v>122</v>
      </c>
      <c r="N99" s="15"/>
      <c r="P99" s="14"/>
    </row>
    <row r="100" spans="11:22" x14ac:dyDescent="0.3">
      <c r="K100" s="9"/>
      <c r="L100" s="92" t="s">
        <v>123</v>
      </c>
      <c r="N100" s="15"/>
      <c r="P100" s="14"/>
    </row>
    <row r="101" spans="11:22" x14ac:dyDescent="0.3">
      <c r="K101" s="9"/>
      <c r="L101" s="92" t="s">
        <v>105</v>
      </c>
      <c r="N101" s="15"/>
      <c r="P101" s="14"/>
    </row>
    <row r="102" spans="11:22" x14ac:dyDescent="0.3">
      <c r="K102" s="9"/>
      <c r="L102" s="92" t="s">
        <v>104</v>
      </c>
      <c r="N102" s="15"/>
      <c r="P102" s="14"/>
    </row>
    <row r="103" spans="11:22" x14ac:dyDescent="0.3">
      <c r="K103" s="9"/>
      <c r="L103" s="92" t="s">
        <v>118</v>
      </c>
      <c r="N103" s="15"/>
      <c r="P103" s="14"/>
    </row>
    <row r="104" spans="11:22" x14ac:dyDescent="0.3">
      <c r="K104" s="9"/>
      <c r="L104" s="92" t="s">
        <v>117</v>
      </c>
      <c r="N104" s="15"/>
      <c r="P104" s="14"/>
    </row>
    <row r="105" spans="11:22" x14ac:dyDescent="0.3">
      <c r="K105" s="9"/>
      <c r="L105" s="92" t="s">
        <v>116</v>
      </c>
      <c r="N105" s="15"/>
      <c r="P105" s="18"/>
    </row>
    <row r="106" spans="11:22" x14ac:dyDescent="0.3">
      <c r="K106" s="9"/>
      <c r="L106" s="92" t="s">
        <v>100</v>
      </c>
      <c r="N106" s="15"/>
      <c r="T106" t="s">
        <v>124</v>
      </c>
      <c r="U106">
        <v>1</v>
      </c>
      <c r="V106" t="str">
        <f>VLOOKUP(U106,'Bronnen N'!C39:D40,2,FALSE)</f>
        <v>2010-2016</v>
      </c>
    </row>
    <row r="107" spans="11:22" x14ac:dyDescent="0.3">
      <c r="K107" s="9"/>
      <c r="L107" s="92" t="s">
        <v>115</v>
      </c>
      <c r="N107" s="15"/>
      <c r="T107" t="s">
        <v>124</v>
      </c>
      <c r="U107">
        <v>2</v>
      </c>
      <c r="V107" t="s">
        <v>478</v>
      </c>
    </row>
    <row r="108" spans="11:22" x14ac:dyDescent="0.3">
      <c r="K108" s="9"/>
      <c r="L108" s="92" t="s">
        <v>125</v>
      </c>
      <c r="N108" s="15"/>
    </row>
    <row r="109" spans="11:22" x14ac:dyDescent="0.3">
      <c r="K109" s="9"/>
      <c r="L109" t="s">
        <v>97</v>
      </c>
      <c r="N109" s="15"/>
    </row>
    <row r="110" spans="11:22" x14ac:dyDescent="0.3">
      <c r="K110" s="9"/>
      <c r="L110" t="s">
        <v>96</v>
      </c>
      <c r="N110" s="15"/>
    </row>
    <row r="111" spans="11:22" x14ac:dyDescent="0.3">
      <c r="K111" s="9"/>
      <c r="L111" t="s">
        <v>95</v>
      </c>
      <c r="N111" s="15"/>
    </row>
    <row r="112" spans="11:22" x14ac:dyDescent="0.3">
      <c r="K112" s="9"/>
      <c r="L112" t="s">
        <v>126</v>
      </c>
      <c r="N112" s="15"/>
    </row>
    <row r="113" spans="1:41" x14ac:dyDescent="0.3">
      <c r="K113" s="9"/>
      <c r="L113" t="s">
        <v>127</v>
      </c>
      <c r="N113" s="15"/>
    </row>
    <row r="114" spans="1:41" x14ac:dyDescent="0.3">
      <c r="K114" s="9"/>
      <c r="N114" s="15"/>
    </row>
    <row r="115" spans="1:41" x14ac:dyDescent="0.3">
      <c r="K115" s="9"/>
      <c r="N115" s="15"/>
    </row>
    <row r="116" spans="1:41" x14ac:dyDescent="0.3">
      <c r="A116" s="3" t="s">
        <v>91</v>
      </c>
      <c r="B116" s="182" t="str">
        <f>V107</f>
        <v>2017-2022</v>
      </c>
      <c r="C116" s="182"/>
      <c r="D116" s="182"/>
      <c r="E116" s="183"/>
      <c r="F116" s="3" t="s">
        <v>91</v>
      </c>
      <c r="G116" s="182" t="str">
        <f>V107</f>
        <v>2017-2022</v>
      </c>
      <c r="H116" s="182"/>
      <c r="I116" s="182"/>
      <c r="J116" s="183"/>
      <c r="K116" s="181" t="s">
        <v>92</v>
      </c>
      <c r="L116" s="181"/>
      <c r="M116" s="181"/>
      <c r="N116" s="181"/>
      <c r="T116" s="6"/>
      <c r="U116" s="12">
        <v>3</v>
      </c>
      <c r="V116" s="12">
        <f>U116+1</f>
        <v>4</v>
      </c>
      <c r="W116" s="12">
        <f t="shared" ref="W116" si="91">V116+1</f>
        <v>5</v>
      </c>
      <c r="X116" s="12">
        <f t="shared" ref="X116" si="92">W116+1</f>
        <v>6</v>
      </c>
      <c r="Y116" s="12">
        <f t="shared" ref="Y116" si="93">X116+1</f>
        <v>7</v>
      </c>
      <c r="Z116" s="12">
        <f t="shared" ref="Z116" si="94">Y116+1</f>
        <v>8</v>
      </c>
      <c r="AA116" s="12">
        <f t="shared" ref="AA116" si="95">Z116+1</f>
        <v>9</v>
      </c>
      <c r="AB116" s="12">
        <f t="shared" ref="AB116" si="96">AA116+1</f>
        <v>10</v>
      </c>
      <c r="AC116" s="12">
        <f t="shared" ref="AC116" si="97">AB116+1</f>
        <v>11</v>
      </c>
      <c r="AD116" s="12">
        <f t="shared" ref="AD116" si="98">AC116+1</f>
        <v>12</v>
      </c>
      <c r="AE116" s="12">
        <f t="shared" ref="AE116" si="99">AD116+1</f>
        <v>13</v>
      </c>
      <c r="AF116" s="12">
        <f t="shared" ref="AF116" si="100">AE116+1</f>
        <v>14</v>
      </c>
      <c r="AG116" s="12">
        <f t="shared" ref="AG116" si="101">AF116+1</f>
        <v>15</v>
      </c>
      <c r="AH116" s="12">
        <f t="shared" ref="AH116" si="102">AG116+1</f>
        <v>16</v>
      </c>
      <c r="AI116" s="12">
        <f t="shared" ref="AI116" si="103">AH116+1</f>
        <v>17</v>
      </c>
      <c r="AJ116" s="12">
        <f t="shared" ref="AJ116" si="104">AI116+1</f>
        <v>18</v>
      </c>
      <c r="AK116" s="12">
        <f t="shared" ref="AK116" si="105">AJ116+1</f>
        <v>19</v>
      </c>
      <c r="AL116" s="12">
        <f t="shared" ref="AL116" si="106">AK116+1</f>
        <v>20</v>
      </c>
      <c r="AM116" s="12">
        <f t="shared" ref="AM116" si="107">AL116+1</f>
        <v>21</v>
      </c>
      <c r="AN116" s="12">
        <f t="shared" ref="AN116" si="108">AM116+1</f>
        <v>22</v>
      </c>
      <c r="AO116" s="12"/>
    </row>
    <row r="117" spans="1:41" x14ac:dyDescent="0.3">
      <c r="K117" s="146"/>
      <c r="L117" s="147"/>
      <c r="M117" s="147"/>
      <c r="N117" s="148"/>
      <c r="T117" s="6"/>
      <c r="U117" s="13" t="s">
        <v>93</v>
      </c>
      <c r="V117" s="13" t="s">
        <v>94</v>
      </c>
      <c r="W117" s="13" t="s">
        <v>95</v>
      </c>
      <c r="X117" s="13" t="s">
        <v>96</v>
      </c>
      <c r="Y117" s="13" t="s">
        <v>97</v>
      </c>
      <c r="Z117" s="13" t="s">
        <v>98</v>
      </c>
      <c r="AA117" s="13" t="s">
        <v>99</v>
      </c>
      <c r="AB117" s="13" t="s">
        <v>100</v>
      </c>
      <c r="AC117" s="13" t="s">
        <v>101</v>
      </c>
      <c r="AD117" s="13" t="s">
        <v>102</v>
      </c>
      <c r="AE117" s="13" t="s">
        <v>103</v>
      </c>
      <c r="AF117" s="13" t="s">
        <v>104</v>
      </c>
      <c r="AG117" s="13" t="s">
        <v>105</v>
      </c>
      <c r="AH117" s="13" t="s">
        <v>106</v>
      </c>
      <c r="AI117" s="13" t="s">
        <v>107</v>
      </c>
      <c r="AJ117" s="13" t="s">
        <v>108</v>
      </c>
      <c r="AK117" s="13" t="s">
        <v>109</v>
      </c>
      <c r="AL117" s="13" t="s">
        <v>110</v>
      </c>
      <c r="AM117" s="13" t="s">
        <v>111</v>
      </c>
      <c r="AN117" s="13" t="s">
        <v>112</v>
      </c>
      <c r="AO117" s="13"/>
    </row>
    <row r="118" spans="1:41" x14ac:dyDescent="0.3">
      <c r="K118" s="9"/>
      <c r="N118" s="15"/>
      <c r="T118" s="6" t="s">
        <v>113</v>
      </c>
      <c r="U118" s="134" t="e">
        <f>IF($U$107=1,VLOOKUP($R$1,'Bronnen N'!$A$6:$AT$18,U$84,FALSE),VLOOKUP($R$1,'Bronnen N'!$A$6:$AT$18,U$84+24,FALSE))</f>
        <v>#N/A</v>
      </c>
      <c r="V118" s="134" t="e">
        <f>IF($U$107=1,VLOOKUP($R$1,'Bronnen N'!$A$6:$AT$18,V$84,FALSE),VLOOKUP($R$1,'Bronnen N'!$A$6:$AT$18,V$84+24,FALSE))</f>
        <v>#N/A</v>
      </c>
      <c r="W118" s="134" t="e">
        <f>IF($U$107=1,VLOOKUP($R$1,'Bronnen N'!$A$6:$AT$18,W$84,FALSE),VLOOKUP($R$1,'Bronnen N'!$A$6:$AT$18,W$84+24,FALSE))</f>
        <v>#N/A</v>
      </c>
      <c r="X118" s="134" t="e">
        <f>IF($U$107=1,VLOOKUP($R$1,'Bronnen N'!$A$6:$AT$18,X$84,FALSE),VLOOKUP($R$1,'Bronnen N'!$A$6:$AT$18,X$84+24,FALSE))</f>
        <v>#N/A</v>
      </c>
      <c r="Y118" s="134" t="e">
        <f>IF($U$107=1,VLOOKUP($R$1,'Bronnen N'!$A$6:$AT$18,Y$84,FALSE),VLOOKUP($R$1,'Bronnen N'!$A$6:$AT$18,Y$84+24,FALSE))</f>
        <v>#N/A</v>
      </c>
      <c r="Z118" s="134" t="e">
        <f>IF($U$107=1,VLOOKUP($R$1,'Bronnen N'!$A$6:$AT$18,Z$84,FALSE),VLOOKUP($R$1,'Bronnen N'!$A$6:$AT$18,Z$84+24,FALSE))</f>
        <v>#N/A</v>
      </c>
      <c r="AA118" s="134" t="e">
        <f>IF($U$107=1,VLOOKUP($R$1,'Bronnen N'!$A$6:$AT$18,AA$84,FALSE),VLOOKUP($R$1,'Bronnen N'!$A$6:$AT$18,AA$84+24,FALSE))</f>
        <v>#N/A</v>
      </c>
      <c r="AB118" s="134" t="e">
        <f>IF($U$107=1,VLOOKUP($R$1,'Bronnen N'!$A$6:$AT$18,AB$84,FALSE),VLOOKUP($R$1,'Bronnen N'!$A$6:$AT$18,AB$84+24,FALSE))</f>
        <v>#N/A</v>
      </c>
      <c r="AC118" s="134" t="e">
        <f>IF($U$107=1,VLOOKUP($R$1,'Bronnen N'!$A$6:$AT$18,AC$84,FALSE),VLOOKUP($R$1,'Bronnen N'!$A$6:$AT$18,AC$84+24,FALSE))</f>
        <v>#N/A</v>
      </c>
      <c r="AD118" s="134" t="e">
        <f>IF($U$107=1,VLOOKUP($R$1,'Bronnen N'!$A$6:$AT$18,AD$84,FALSE),VLOOKUP($R$1,'Bronnen N'!$A$6:$AT$18,AD$84+24,FALSE))</f>
        <v>#N/A</v>
      </c>
      <c r="AE118" s="134" t="e">
        <f>IF($U$107=1,VLOOKUP($R$1,'Bronnen N'!$A$6:$AT$18,AE$84,FALSE),VLOOKUP($R$1,'Bronnen N'!$A$6:$AT$18,AE$84+24,FALSE))</f>
        <v>#N/A</v>
      </c>
      <c r="AF118" s="134" t="e">
        <f>IF($U$107=1,VLOOKUP($R$1,'Bronnen N'!$A$6:$AT$18,AF$84,FALSE),VLOOKUP($R$1,'Bronnen N'!$A$6:$AT$18,AF$84+24,FALSE))</f>
        <v>#N/A</v>
      </c>
      <c r="AG118" s="134" t="e">
        <f>IF($U$107=1,VLOOKUP($R$1,'Bronnen N'!$A$6:$AT$18,AG$84,FALSE),VLOOKUP($R$1,'Bronnen N'!$A$6:$AT$18,AG$84+24,FALSE))</f>
        <v>#N/A</v>
      </c>
      <c r="AH118" s="134" t="e">
        <f>IF($U$107=1,VLOOKUP($R$1,'Bronnen N'!$A$6:$AT$18,AH$84,FALSE),VLOOKUP($R$1,'Bronnen N'!$A$6:$AT$18,AH$84+24,FALSE))</f>
        <v>#N/A</v>
      </c>
      <c r="AI118" s="134" t="e">
        <f>IF($U$107=1,VLOOKUP($R$1,'Bronnen N'!$A$6:$AT$18,AI$84,FALSE),VLOOKUP($R$1,'Bronnen N'!$A$6:$AT$18,AI$84+24,FALSE))</f>
        <v>#N/A</v>
      </c>
      <c r="AJ118" s="134" t="e">
        <f>IF($U$107=1,VLOOKUP($R$1,'Bronnen N'!$A$6:$AT$18,AJ$84,FALSE),VLOOKUP($R$1,'Bronnen N'!$A$6:$AT$18,AJ$84+24,FALSE))</f>
        <v>#N/A</v>
      </c>
      <c r="AK118" s="134" t="e">
        <f>IF($U$107=1,VLOOKUP($R$1,'Bronnen N'!$A$6:$AT$18,AK$84,FALSE),VLOOKUP($R$1,'Bronnen N'!$A$6:$AT$18,AK$84+24,FALSE))</f>
        <v>#N/A</v>
      </c>
      <c r="AL118" s="134" t="e">
        <f>IF($U$107=1,VLOOKUP($R$1,'Bronnen N'!$A$6:$AT$18,AL$84,FALSE),VLOOKUP($R$1,'Bronnen N'!$A$6:$AT$18,AL$84+24,FALSE))</f>
        <v>#N/A</v>
      </c>
      <c r="AM118" s="134" t="e">
        <f>IF($U$107=1,VLOOKUP($R$1,'Bronnen N'!$A$6:$AT$18,AM$84,FALSE),VLOOKUP($R$1,'Bronnen N'!$A$6:$AT$18,AM$84+24,FALSE))</f>
        <v>#N/A</v>
      </c>
      <c r="AN118" s="134" t="e">
        <f>IF($U$107=1,VLOOKUP($R$1,'Bronnen N'!$A$6:$AT$18,AN$84,FALSE),VLOOKUP($R$1,'Bronnen N'!$A$6:$AT$18,AN$84+24,FALSE))</f>
        <v>#N/A</v>
      </c>
      <c r="AO118" s="13"/>
    </row>
    <row r="119" spans="1:41" x14ac:dyDescent="0.3">
      <c r="K119" s="9"/>
      <c r="N119" s="15"/>
      <c r="T119" s="6" t="s">
        <v>114</v>
      </c>
      <c r="U119" s="134" t="e">
        <f>IF($U$107=1,VLOOKUP($R$1,'Bronnen N'!$A$24:$AT$36,U$84,FALSE),VLOOKUP($R$1,'Bronnen N'!$A$24:$AT$36,U$84+24,FALSE))</f>
        <v>#N/A</v>
      </c>
      <c r="V119" s="134" t="e">
        <f>IF($U$107=1,VLOOKUP($R$1,'Bronnen N'!$A$24:$AT$36,V$84,FALSE),VLOOKUP($R$1,'Bronnen N'!$A$24:$AT$36,V$84+24,FALSE))</f>
        <v>#N/A</v>
      </c>
      <c r="W119" s="134" t="e">
        <f>IF($U$107=1,VLOOKUP($R$1,'Bronnen N'!$A$24:$AT$36,W$84,FALSE),VLOOKUP($R$1,'Bronnen N'!$A$24:$AT$36,W$84+24,FALSE))</f>
        <v>#N/A</v>
      </c>
      <c r="X119" s="134" t="e">
        <f>IF($U$107=1,VLOOKUP($R$1,'Bronnen N'!$A$24:$AT$36,X$84,FALSE),VLOOKUP($R$1,'Bronnen N'!$A$24:$AT$36,X$84+24,FALSE))</f>
        <v>#N/A</v>
      </c>
      <c r="Y119" s="134" t="e">
        <f>IF($U$107=1,VLOOKUP($R$1,'Bronnen N'!$A$24:$AT$36,Y$84,FALSE),VLOOKUP($R$1,'Bronnen N'!$A$24:$AT$36,Y$84+24,FALSE))</f>
        <v>#N/A</v>
      </c>
      <c r="Z119" s="134" t="e">
        <f>IF($U$107=1,VLOOKUP($R$1,'Bronnen N'!$A$24:$AT$36,Z$84,FALSE),VLOOKUP($R$1,'Bronnen N'!$A$24:$AT$36,Z$84+24,FALSE))</f>
        <v>#N/A</v>
      </c>
      <c r="AA119" s="134" t="e">
        <f>IF($U$107=1,VLOOKUP($R$1,'Bronnen N'!$A$24:$AT$36,AA$84,FALSE),VLOOKUP($R$1,'Bronnen N'!$A$24:$AT$36,AA$84+24,FALSE))</f>
        <v>#N/A</v>
      </c>
      <c r="AB119" s="134" t="e">
        <f>IF($U$107=1,VLOOKUP($R$1,'Bronnen N'!$A$24:$AT$36,AB$84,FALSE),VLOOKUP($R$1,'Bronnen N'!$A$24:$AT$36,AB$84+24,FALSE))</f>
        <v>#N/A</v>
      </c>
      <c r="AC119" s="134" t="e">
        <f>IF($U$107=1,VLOOKUP($R$1,'Bronnen N'!$A$24:$AT$36,AC$84,FALSE),VLOOKUP($R$1,'Bronnen N'!$A$24:$AT$36,AC$84+24,FALSE))</f>
        <v>#N/A</v>
      </c>
      <c r="AD119" s="134" t="e">
        <f>IF($U$107=1,VLOOKUP($R$1,'Bronnen N'!$A$24:$AT$36,AD$84,FALSE),VLOOKUP($R$1,'Bronnen N'!$A$24:$AT$36,AD$84+24,FALSE))</f>
        <v>#N/A</v>
      </c>
      <c r="AE119" s="134" t="e">
        <f>IF($U$107=1,VLOOKUP($R$1,'Bronnen N'!$A$24:$AT$36,AE$84,FALSE),VLOOKUP($R$1,'Bronnen N'!$A$24:$AT$36,AE$84+24,FALSE))</f>
        <v>#N/A</v>
      </c>
      <c r="AF119" s="134" t="e">
        <f>IF($U$107=1,VLOOKUP($R$1,'Bronnen N'!$A$24:$AT$36,AF$84,FALSE),VLOOKUP($R$1,'Bronnen N'!$A$24:$AT$36,AF$84+24,FALSE))</f>
        <v>#N/A</v>
      </c>
      <c r="AG119" s="134" t="e">
        <f>IF($U$107=1,VLOOKUP($R$1,'Bronnen N'!$A$24:$AT$36,AG$84,FALSE),VLOOKUP($R$1,'Bronnen N'!$A$24:$AT$36,AG$84+24,FALSE))</f>
        <v>#N/A</v>
      </c>
      <c r="AH119" s="134" t="e">
        <f>IF($U$107=1,VLOOKUP($R$1,'Bronnen N'!$A$24:$AT$36,AH$84,FALSE),VLOOKUP($R$1,'Bronnen N'!$A$24:$AT$36,AH$84+24,FALSE))</f>
        <v>#N/A</v>
      </c>
      <c r="AI119" s="134" t="e">
        <f>IF($U$107=1,VLOOKUP($R$1,'Bronnen N'!$A$24:$AT$36,AI$84,FALSE),VLOOKUP($R$1,'Bronnen N'!$A$24:$AT$36,AI$84+24,FALSE))</f>
        <v>#N/A</v>
      </c>
      <c r="AJ119" s="134" t="e">
        <f>IF($U$107=1,VLOOKUP($R$1,'Bronnen N'!$A$24:$AT$36,AJ$84,FALSE),VLOOKUP($R$1,'Bronnen N'!$A$24:$AT$36,AJ$84+24,FALSE))</f>
        <v>#N/A</v>
      </c>
      <c r="AK119" s="134" t="e">
        <f>IF($U$107=1,VLOOKUP($R$1,'Bronnen N'!$A$24:$AT$36,AK$84,FALSE),VLOOKUP($R$1,'Bronnen N'!$A$24:$AT$36,AK$84+24,FALSE))</f>
        <v>#N/A</v>
      </c>
      <c r="AL119" s="134" t="e">
        <f>IF($U$107=1,VLOOKUP($R$1,'Bronnen N'!$A$24:$AT$36,AL$84,FALSE),VLOOKUP($R$1,'Bronnen N'!$A$24:$AT$36,AL$84+24,FALSE))</f>
        <v>#N/A</v>
      </c>
      <c r="AM119" s="134" t="e">
        <f>IF($U$107=1,VLOOKUP($R$1,'Bronnen N'!$A$24:$AT$36,AM$84,FALSE),VLOOKUP($R$1,'Bronnen N'!$A$24:$AT$36,AM$84+24,FALSE))</f>
        <v>#N/A</v>
      </c>
      <c r="AN119" s="134" t="e">
        <f>IF($U$107=1,VLOOKUP($R$1,'Bronnen N'!$A$24:$AT$36,AN$84,FALSE),VLOOKUP($R$1,'Bronnen N'!$A$24:$AT$36,AN$84+24,FALSE))</f>
        <v>#N/A</v>
      </c>
      <c r="AO119" s="6"/>
    </row>
    <row r="120" spans="1:41" x14ac:dyDescent="0.3">
      <c r="K120" s="9"/>
      <c r="N120" s="15"/>
      <c r="T120" s="6" t="s">
        <v>113</v>
      </c>
      <c r="U120" s="134" t="e">
        <f>IF($U$107=1,VLOOKUP($R$1,'Bronnen P'!$A$6:$AT$18,U$84,FALSE),VLOOKUP($R$1,'Bronnen P'!$A$6:$AT$18,U$84+24,FALSE))</f>
        <v>#N/A</v>
      </c>
      <c r="V120" s="134" t="e">
        <f>IF($U$107=1,VLOOKUP($R$1,'Bronnen P'!$A$6:$AT$18,V$84,FALSE),VLOOKUP($R$1,'Bronnen P'!$A$6:$AT$18,V$84+24,FALSE))</f>
        <v>#N/A</v>
      </c>
      <c r="W120" s="134" t="e">
        <f>IF($U$107=1,VLOOKUP($R$1,'Bronnen P'!$A$6:$AT$18,W$84,FALSE),VLOOKUP($R$1,'Bronnen P'!$A$6:$AT$18,W$84+24,FALSE))</f>
        <v>#N/A</v>
      </c>
      <c r="X120" s="134" t="e">
        <f>IF($U$107=1,VLOOKUP($R$1,'Bronnen P'!$A$6:$AT$18,X$84,FALSE),VLOOKUP($R$1,'Bronnen P'!$A$6:$AT$18,X$84+24,FALSE))</f>
        <v>#N/A</v>
      </c>
      <c r="Y120" s="134" t="e">
        <f>IF($U$107=1,VLOOKUP($R$1,'Bronnen P'!$A$6:$AT$18,Y$84,FALSE),VLOOKUP($R$1,'Bronnen P'!$A$6:$AT$18,Y$84+24,FALSE))</f>
        <v>#N/A</v>
      </c>
      <c r="Z120" s="134" t="e">
        <f>IF($U$107=1,VLOOKUP($R$1,'Bronnen P'!$A$6:$AT$18,Z$84,FALSE),VLOOKUP($R$1,'Bronnen P'!$A$6:$AT$18,Z$84+24,FALSE))</f>
        <v>#N/A</v>
      </c>
      <c r="AA120" s="134" t="e">
        <f>IF($U$107=1,VLOOKUP($R$1,'Bronnen P'!$A$6:$AT$18,AA$84,FALSE),VLOOKUP($R$1,'Bronnen P'!$A$6:$AT$18,AA$84+24,FALSE))</f>
        <v>#N/A</v>
      </c>
      <c r="AB120" s="134" t="e">
        <f>IF($U$107=1,VLOOKUP($R$1,'Bronnen P'!$A$6:$AT$18,AB$84,FALSE),VLOOKUP($R$1,'Bronnen P'!$A$6:$AT$18,AB$84+24,FALSE))</f>
        <v>#N/A</v>
      </c>
      <c r="AC120" s="134" t="e">
        <f>IF($U$107=1,VLOOKUP($R$1,'Bronnen P'!$A$6:$AT$18,AC$84,FALSE),VLOOKUP($R$1,'Bronnen P'!$A$6:$AT$18,AC$84+24,FALSE))</f>
        <v>#N/A</v>
      </c>
      <c r="AD120" s="134" t="e">
        <f>IF($U$107=1,VLOOKUP($R$1,'Bronnen P'!$A$6:$AT$18,AD$84,FALSE),VLOOKUP($R$1,'Bronnen P'!$A$6:$AT$18,AD$84+24,FALSE))</f>
        <v>#N/A</v>
      </c>
      <c r="AE120" s="134" t="e">
        <f>IF($U$107=1,VLOOKUP($R$1,'Bronnen P'!$A$6:$AT$18,AE$84,FALSE),VLOOKUP($R$1,'Bronnen P'!$A$6:$AT$18,AE$84+24,FALSE))</f>
        <v>#N/A</v>
      </c>
      <c r="AF120" s="134" t="e">
        <f>IF($U$107=1,VLOOKUP($R$1,'Bronnen P'!$A$6:$AT$18,AF$84,FALSE),VLOOKUP($R$1,'Bronnen P'!$A$6:$AT$18,AF$84+24,FALSE))</f>
        <v>#N/A</v>
      </c>
      <c r="AG120" s="134" t="e">
        <f>IF($U$107=1,VLOOKUP($R$1,'Bronnen P'!$A$6:$AT$18,AG$84,FALSE),VLOOKUP($R$1,'Bronnen P'!$A$6:$AT$18,AG$84+24,FALSE))</f>
        <v>#N/A</v>
      </c>
      <c r="AH120" s="134" t="e">
        <f>IF($U$107=1,VLOOKUP($R$1,'Bronnen P'!$A$6:$AT$18,AH$84,FALSE),VLOOKUP($R$1,'Bronnen P'!$A$6:$AT$18,AH$84+24,FALSE))</f>
        <v>#N/A</v>
      </c>
      <c r="AI120" s="134" t="e">
        <f>IF($U$107=1,VLOOKUP($R$1,'Bronnen P'!$A$6:$AT$18,AI$84,FALSE),VLOOKUP($R$1,'Bronnen P'!$A$6:$AT$18,AI$84+24,FALSE))</f>
        <v>#N/A</v>
      </c>
      <c r="AJ120" s="134" t="e">
        <f>IF($U$107=1,VLOOKUP($R$1,'Bronnen P'!$A$6:$AT$18,AJ$84,FALSE),VLOOKUP($R$1,'Bronnen P'!$A$6:$AT$18,AJ$84+24,FALSE))</f>
        <v>#N/A</v>
      </c>
      <c r="AK120" s="134" t="e">
        <f>IF($U$107=1,VLOOKUP($R$1,'Bronnen P'!$A$6:$AT$18,AK$84,FALSE),VLOOKUP($R$1,'Bronnen P'!$A$6:$AT$18,AK$84+24,FALSE))</f>
        <v>#N/A</v>
      </c>
      <c r="AL120" s="134" t="e">
        <f>IF($U$107=1,VLOOKUP($R$1,'Bronnen P'!$A$6:$AT$18,AL$84,FALSE),VLOOKUP($R$1,'Bronnen P'!$A$6:$AT$18,AL$84+24,FALSE))</f>
        <v>#N/A</v>
      </c>
      <c r="AM120" s="134" t="e">
        <f>IF($U$107=1,VLOOKUP($R$1,'Bronnen P'!$A$6:$AT$18,AM$84,FALSE),VLOOKUP($R$1,'Bronnen P'!$A$6:$AT$18,AM$84+24,FALSE))</f>
        <v>#N/A</v>
      </c>
      <c r="AN120" s="134" t="e">
        <f>IF($U$107=1,VLOOKUP($R$1,'Bronnen P'!$A$6:$AT$18,AN$84,FALSE),VLOOKUP($R$1,'Bronnen P'!$A$6:$AT$18,AN$84+24,FALSE))</f>
        <v>#N/A</v>
      </c>
      <c r="AO120" s="13"/>
    </row>
    <row r="121" spans="1:41" x14ac:dyDescent="0.3">
      <c r="K121" s="9"/>
      <c r="N121" s="15"/>
      <c r="T121" s="6" t="s">
        <v>114</v>
      </c>
      <c r="U121" s="134" t="e">
        <f>IF($U$107=1,VLOOKUP($R$1,'Bronnen P'!$A$24:$AT$36,U$84,FALSE),VLOOKUP($R$1,'Bronnen P'!$A$24:$AT$36,U$84+24,FALSE))</f>
        <v>#N/A</v>
      </c>
      <c r="V121" s="134" t="e">
        <f>IF($U$107=1,VLOOKUP($R$1,'Bronnen P'!$A$24:$AT$36,V$84,FALSE),VLOOKUP($R$1,'Bronnen P'!$A$24:$AT$36,V$84+24,FALSE))</f>
        <v>#N/A</v>
      </c>
      <c r="W121" s="134" t="e">
        <f>IF($U$107=1,VLOOKUP($R$1,'Bronnen P'!$A$24:$AT$36,W$84,FALSE),VLOOKUP($R$1,'Bronnen P'!$A$24:$AT$36,W$84+24,FALSE))</f>
        <v>#N/A</v>
      </c>
      <c r="X121" s="134" t="e">
        <f>IF($U$107=1,VLOOKUP($R$1,'Bronnen P'!$A$24:$AT$36,X$84,FALSE),VLOOKUP($R$1,'Bronnen P'!$A$24:$AT$36,X$84+24,FALSE))</f>
        <v>#N/A</v>
      </c>
      <c r="Y121" s="134" t="e">
        <f>IF($U$107=1,VLOOKUP($R$1,'Bronnen P'!$A$24:$AT$36,Y$84,FALSE),VLOOKUP($R$1,'Bronnen P'!$A$24:$AT$36,Y$84+24,FALSE))</f>
        <v>#N/A</v>
      </c>
      <c r="Z121" s="134" t="e">
        <f>IF($U$107=1,VLOOKUP($R$1,'Bronnen P'!$A$24:$AT$36,Z$84,FALSE),VLOOKUP($R$1,'Bronnen P'!$A$24:$AT$36,Z$84+24,FALSE))</f>
        <v>#N/A</v>
      </c>
      <c r="AA121" s="134" t="e">
        <f>IF($U$107=1,VLOOKUP($R$1,'Bronnen P'!$A$24:$AT$36,AA$84,FALSE),VLOOKUP($R$1,'Bronnen P'!$A$24:$AT$36,AA$84+24,FALSE))</f>
        <v>#N/A</v>
      </c>
      <c r="AB121" s="134" t="e">
        <f>IF($U$107=1,VLOOKUP($R$1,'Bronnen P'!$A$24:$AT$36,AB$84,FALSE),VLOOKUP($R$1,'Bronnen P'!$A$24:$AT$36,AB$84+24,FALSE))</f>
        <v>#N/A</v>
      </c>
      <c r="AC121" s="134" t="e">
        <f>IF($U$107=1,VLOOKUP($R$1,'Bronnen P'!$A$24:$AT$36,AC$84,FALSE),VLOOKUP($R$1,'Bronnen P'!$A$24:$AT$36,AC$84+24,FALSE))</f>
        <v>#N/A</v>
      </c>
      <c r="AD121" s="134" t="e">
        <f>IF($U$107=1,VLOOKUP($R$1,'Bronnen P'!$A$24:$AT$36,AD$84,FALSE),VLOOKUP($R$1,'Bronnen P'!$A$24:$AT$36,AD$84+24,FALSE))</f>
        <v>#N/A</v>
      </c>
      <c r="AE121" s="134" t="e">
        <f>IF($U$107=1,VLOOKUP($R$1,'Bronnen P'!$A$24:$AT$36,AE$84,FALSE),VLOOKUP($R$1,'Bronnen P'!$A$24:$AT$36,AE$84+24,FALSE))</f>
        <v>#N/A</v>
      </c>
      <c r="AF121" s="134" t="e">
        <f>IF($U$107=1,VLOOKUP($R$1,'Bronnen P'!$A$24:$AT$36,AF$84,FALSE),VLOOKUP($R$1,'Bronnen P'!$A$24:$AT$36,AF$84+24,FALSE))</f>
        <v>#N/A</v>
      </c>
      <c r="AG121" s="134" t="e">
        <f>IF($U$107=1,VLOOKUP($R$1,'Bronnen P'!$A$24:$AT$36,AG$84,FALSE),VLOOKUP($R$1,'Bronnen P'!$A$24:$AT$36,AG$84+24,FALSE))</f>
        <v>#N/A</v>
      </c>
      <c r="AH121" s="134" t="e">
        <f>IF($U$107=1,VLOOKUP($R$1,'Bronnen P'!$A$24:$AT$36,AH$84,FALSE),VLOOKUP($R$1,'Bronnen P'!$A$24:$AT$36,AH$84+24,FALSE))</f>
        <v>#N/A</v>
      </c>
      <c r="AI121" s="134" t="e">
        <f>IF($U$107=1,VLOOKUP($R$1,'Bronnen P'!$A$24:$AT$36,AI$84,FALSE),VLOOKUP($R$1,'Bronnen P'!$A$24:$AT$36,AI$84+24,FALSE))</f>
        <v>#N/A</v>
      </c>
      <c r="AJ121" s="134" t="e">
        <f>IF($U$107=1,VLOOKUP($R$1,'Bronnen P'!$A$24:$AT$36,AJ$84,FALSE),VLOOKUP($R$1,'Bronnen P'!$A$24:$AT$36,AJ$84+24,FALSE))</f>
        <v>#N/A</v>
      </c>
      <c r="AK121" s="134" t="e">
        <f>IF($U$107=1,VLOOKUP($R$1,'Bronnen P'!$A$24:$AT$36,AK$84,FALSE),VLOOKUP($R$1,'Bronnen P'!$A$24:$AT$36,AK$84+24,FALSE))</f>
        <v>#N/A</v>
      </c>
      <c r="AL121" s="134" t="e">
        <f>IF($U$107=1,VLOOKUP($R$1,'Bronnen P'!$A$24:$AT$36,AL$84,FALSE),VLOOKUP($R$1,'Bronnen P'!$A$24:$AT$36,AL$84+24,FALSE))</f>
        <v>#N/A</v>
      </c>
      <c r="AM121" s="134" t="e">
        <f>IF($U$107=1,VLOOKUP($R$1,'Bronnen P'!$A$24:$AT$36,AM$84,FALSE),VLOOKUP($R$1,'Bronnen P'!$A$24:$AT$36,AM$84+24,FALSE))</f>
        <v>#N/A</v>
      </c>
      <c r="AN121" s="134" t="e">
        <f>IF($U$107=1,VLOOKUP($R$1,'Bronnen P'!$A$24:$AT$36,AN$84,FALSE),VLOOKUP($R$1,'Bronnen P'!$A$24:$AT$36,AN$84+24,FALSE))</f>
        <v>#N/A</v>
      </c>
      <c r="AO121" s="6"/>
    </row>
    <row r="122" spans="1:41" x14ac:dyDescent="0.3">
      <c r="K122" s="9"/>
      <c r="N122" s="15"/>
      <c r="T122" s="6"/>
    </row>
    <row r="123" spans="1:41" x14ac:dyDescent="0.3">
      <c r="K123" s="9"/>
      <c r="N123" s="15"/>
      <c r="U123" s="13" t="s">
        <v>93</v>
      </c>
      <c r="V123" s="13" t="s">
        <v>94</v>
      </c>
      <c r="W123" s="13" t="s">
        <v>95</v>
      </c>
      <c r="X123" s="13" t="s">
        <v>96</v>
      </c>
      <c r="Y123" s="13" t="s">
        <v>97</v>
      </c>
      <c r="Z123" s="13" t="s">
        <v>98</v>
      </c>
      <c r="AA123" s="13" t="s">
        <v>115</v>
      </c>
      <c r="AB123" s="13" t="s">
        <v>100</v>
      </c>
      <c r="AC123" s="13" t="s">
        <v>116</v>
      </c>
      <c r="AD123" s="13" t="s">
        <v>117</v>
      </c>
      <c r="AE123" s="13" t="s">
        <v>118</v>
      </c>
      <c r="AF123" s="13" t="s">
        <v>104</v>
      </c>
      <c r="AG123" s="13" t="s">
        <v>105</v>
      </c>
      <c r="AH123" s="13" t="s">
        <v>106</v>
      </c>
      <c r="AI123" s="13" t="s">
        <v>107</v>
      </c>
      <c r="AJ123" s="13" t="s">
        <v>119</v>
      </c>
      <c r="AK123" s="13" t="s">
        <v>120</v>
      </c>
      <c r="AL123" s="13" t="s">
        <v>121</v>
      </c>
      <c r="AM123" s="13" t="s">
        <v>111</v>
      </c>
      <c r="AN123" s="13" t="s">
        <v>112</v>
      </c>
      <c r="AO123" s="6"/>
    </row>
    <row r="124" spans="1:41" x14ac:dyDescent="0.3">
      <c r="K124" s="9"/>
      <c r="N124" s="15"/>
      <c r="T124" s="6" t="s">
        <v>92</v>
      </c>
      <c r="U124" s="135">
        <v>1</v>
      </c>
      <c r="V124" s="135">
        <v>1</v>
      </c>
      <c r="W124" s="135">
        <v>1</v>
      </c>
      <c r="X124" s="135">
        <v>1</v>
      </c>
      <c r="Y124" s="135">
        <v>1</v>
      </c>
      <c r="Z124" s="135">
        <v>1</v>
      </c>
      <c r="AA124" s="135">
        <v>1</v>
      </c>
      <c r="AB124" s="135">
        <v>1</v>
      </c>
      <c r="AC124" s="135">
        <v>1</v>
      </c>
      <c r="AD124" s="135">
        <v>1</v>
      </c>
      <c r="AE124" s="135">
        <v>1</v>
      </c>
      <c r="AF124" s="135">
        <v>1</v>
      </c>
      <c r="AG124" s="135">
        <v>1</v>
      </c>
      <c r="AH124" s="135">
        <v>1</v>
      </c>
      <c r="AI124" s="135">
        <v>1</v>
      </c>
      <c r="AJ124" s="135">
        <v>1</v>
      </c>
      <c r="AK124" s="135">
        <v>1</v>
      </c>
      <c r="AL124" s="135">
        <v>1</v>
      </c>
      <c r="AM124" s="135">
        <v>1</v>
      </c>
      <c r="AN124" s="135">
        <v>1</v>
      </c>
      <c r="AO124" s="135"/>
    </row>
    <row r="125" spans="1:41" x14ac:dyDescent="0.3">
      <c r="K125" s="9"/>
      <c r="N125" s="15"/>
    </row>
    <row r="126" spans="1:41" x14ac:dyDescent="0.3">
      <c r="K126" s="9"/>
      <c r="L126" s="92" t="s">
        <v>112</v>
      </c>
      <c r="N126" s="15"/>
    </row>
    <row r="127" spans="1:41" x14ac:dyDescent="0.3">
      <c r="K127" s="9"/>
      <c r="L127" s="92" t="s">
        <v>111</v>
      </c>
      <c r="N127" s="15"/>
    </row>
    <row r="128" spans="1:41" x14ac:dyDescent="0.3">
      <c r="K128" s="9"/>
      <c r="L128" s="92" t="s">
        <v>121</v>
      </c>
      <c r="N128" s="15"/>
    </row>
    <row r="129" spans="11:14" x14ac:dyDescent="0.3">
      <c r="K129" s="9"/>
      <c r="L129" s="92" t="s">
        <v>120</v>
      </c>
      <c r="N129" s="15"/>
    </row>
    <row r="130" spans="11:14" x14ac:dyDescent="0.3">
      <c r="K130" s="9"/>
      <c r="L130" s="92" t="s">
        <v>119</v>
      </c>
      <c r="N130" s="15"/>
    </row>
    <row r="131" spans="11:14" x14ac:dyDescent="0.3">
      <c r="K131" s="9"/>
      <c r="L131" s="92" t="s">
        <v>122</v>
      </c>
      <c r="N131" s="15"/>
    </row>
    <row r="132" spans="11:14" x14ac:dyDescent="0.3">
      <c r="K132" s="9"/>
      <c r="L132" s="92" t="s">
        <v>123</v>
      </c>
      <c r="N132" s="15"/>
    </row>
    <row r="133" spans="11:14" x14ac:dyDescent="0.3">
      <c r="K133" s="9"/>
      <c r="L133" s="92" t="s">
        <v>105</v>
      </c>
      <c r="N133" s="15"/>
    </row>
    <row r="134" spans="11:14" x14ac:dyDescent="0.3">
      <c r="K134" s="9"/>
      <c r="L134" s="92" t="s">
        <v>104</v>
      </c>
      <c r="N134" s="15"/>
    </row>
    <row r="135" spans="11:14" x14ac:dyDescent="0.3">
      <c r="K135" s="9"/>
      <c r="L135" s="92" t="s">
        <v>118</v>
      </c>
      <c r="N135" s="15"/>
    </row>
    <row r="136" spans="11:14" x14ac:dyDescent="0.3">
      <c r="K136" s="9"/>
      <c r="L136" s="92" t="s">
        <v>117</v>
      </c>
      <c r="N136" s="15"/>
    </row>
    <row r="137" spans="11:14" x14ac:dyDescent="0.3">
      <c r="K137" s="9"/>
      <c r="L137" s="92" t="s">
        <v>116</v>
      </c>
      <c r="N137" s="15"/>
    </row>
    <row r="138" spans="11:14" x14ac:dyDescent="0.3">
      <c r="K138" s="9"/>
      <c r="L138" s="92" t="s">
        <v>100</v>
      </c>
      <c r="N138" s="15"/>
    </row>
    <row r="139" spans="11:14" x14ac:dyDescent="0.3">
      <c r="K139" s="9"/>
      <c r="L139" s="92" t="s">
        <v>115</v>
      </c>
      <c r="N139" s="15"/>
    </row>
    <row r="140" spans="11:14" x14ac:dyDescent="0.3">
      <c r="K140" s="9"/>
      <c r="L140" s="92" t="s">
        <v>125</v>
      </c>
      <c r="N140" s="15"/>
    </row>
    <row r="141" spans="11:14" x14ac:dyDescent="0.3">
      <c r="K141" s="9"/>
      <c r="L141" t="s">
        <v>97</v>
      </c>
      <c r="N141" s="15"/>
    </row>
    <row r="142" spans="11:14" x14ac:dyDescent="0.3">
      <c r="K142" s="9"/>
      <c r="L142" t="s">
        <v>96</v>
      </c>
      <c r="N142" s="15"/>
    </row>
    <row r="143" spans="11:14" x14ac:dyDescent="0.3">
      <c r="K143" s="9"/>
      <c r="L143" t="s">
        <v>95</v>
      </c>
      <c r="N143" s="15"/>
    </row>
    <row r="144" spans="11:14" x14ac:dyDescent="0.3">
      <c r="K144" s="9"/>
      <c r="L144" t="s">
        <v>126</v>
      </c>
      <c r="N144" s="15"/>
    </row>
    <row r="145" spans="1:30" x14ac:dyDescent="0.3">
      <c r="K145" s="9"/>
      <c r="L145" t="s">
        <v>127</v>
      </c>
      <c r="N145" s="15"/>
    </row>
    <row r="146" spans="1:30" x14ac:dyDescent="0.3">
      <c r="K146" s="9"/>
      <c r="N146" s="15"/>
    </row>
    <row r="147" spans="1:30" x14ac:dyDescent="0.3">
      <c r="K147" s="11"/>
      <c r="L147" s="10"/>
      <c r="M147" s="10"/>
      <c r="N147" s="16"/>
    </row>
    <row r="148" spans="1:30" ht="15.6" x14ac:dyDescent="0.3">
      <c r="A148" s="188" t="s">
        <v>128</v>
      </c>
      <c r="B148" s="189"/>
      <c r="C148" s="190"/>
      <c r="D148" s="188" t="str">
        <f>A1</f>
        <v>NL37_Weerwater</v>
      </c>
      <c r="E148" s="189"/>
      <c r="F148" s="190"/>
      <c r="G148" s="188" t="str">
        <f>D1</f>
        <v>Weerwater</v>
      </c>
      <c r="H148" s="189"/>
      <c r="I148" s="189"/>
      <c r="J148" s="189"/>
      <c r="K148" s="189"/>
      <c r="L148" s="189"/>
      <c r="M148" s="189"/>
      <c r="N148" s="190"/>
    </row>
    <row r="149" spans="1:30" x14ac:dyDescent="0.3">
      <c r="A149" s="191" t="s">
        <v>129</v>
      </c>
      <c r="B149" s="192"/>
      <c r="C149" s="195" t="s">
        <v>130</v>
      </c>
      <c r="D149" s="196"/>
      <c r="E149" s="196"/>
      <c r="F149" s="197"/>
      <c r="G149" s="195" t="s">
        <v>131</v>
      </c>
      <c r="H149" s="196"/>
      <c r="I149" s="196"/>
      <c r="J149" s="197"/>
      <c r="K149" s="195" t="s">
        <v>132</v>
      </c>
      <c r="L149" s="196"/>
      <c r="M149" s="196"/>
      <c r="N149" s="197"/>
      <c r="X149" s="6" t="s">
        <v>133</v>
      </c>
      <c r="Y149" s="6" t="s">
        <v>134</v>
      </c>
      <c r="Z149" s="6" t="s">
        <v>135</v>
      </c>
      <c r="AA149" s="6"/>
      <c r="AB149" s="6"/>
      <c r="AC149" s="6"/>
      <c r="AD149" s="6"/>
    </row>
    <row r="150" spans="1:30" x14ac:dyDescent="0.3">
      <c r="A150" s="193"/>
      <c r="B150" s="194"/>
      <c r="C150" s="24" t="s">
        <v>136</v>
      </c>
      <c r="D150" s="195" t="s">
        <v>5</v>
      </c>
      <c r="E150" s="196"/>
      <c r="F150" s="197"/>
      <c r="G150" s="24" t="s">
        <v>136</v>
      </c>
      <c r="H150" s="195" t="s">
        <v>5</v>
      </c>
      <c r="I150" s="196"/>
      <c r="J150" s="197"/>
      <c r="K150" s="24" t="s">
        <v>136</v>
      </c>
      <c r="L150" s="195" t="s">
        <v>5</v>
      </c>
      <c r="M150" s="196"/>
      <c r="N150" s="197"/>
      <c r="P150" s="18" t="s">
        <v>63</v>
      </c>
      <c r="X150" s="6"/>
      <c r="Y150" s="6"/>
      <c r="Z150" s="6"/>
      <c r="AA150" s="6"/>
      <c r="AB150" s="6"/>
      <c r="AC150" s="6"/>
      <c r="AD150" s="6"/>
    </row>
    <row r="151" spans="1:30" ht="219.6" customHeight="1" x14ac:dyDescent="0.3">
      <c r="A151" s="174" t="s">
        <v>137</v>
      </c>
      <c r="B151" s="175"/>
      <c r="C151" s="29" t="e" vm="1">
        <f>VLOOKUP(X151,'Iconen ESFs'!$A$2:$I$5,2,FALSE)</f>
        <v>#VALUE!</v>
      </c>
      <c r="D151" s="184" t="str">
        <f>VLOOKUP($R$1,'ESF1'!$A$5:$H$24,4,FALSE)</f>
        <v>De concentraties van totaal-stikstof en totaal-fosfor zijn laag, en voldoen aan de Flevoland-specifieke normen. Er is geen overmatige groei van algen.</v>
      </c>
      <c r="E151" s="185"/>
      <c r="F151" s="186"/>
      <c r="G151" s="29" t="e" vm="1">
        <f>VLOOKUP(Y151,'Iconen ESFs'!$A$2:$I$5,2,FALSE)</f>
        <v>#VALUE!</v>
      </c>
      <c r="H151" s="184" t="str">
        <f>VLOOKUP($R$1,'ESF1'!$A$5:$H$24,6,FALSE)</f>
        <v>Geen reden voor wijziging.</v>
      </c>
      <c r="I151" s="185"/>
      <c r="J151" s="186"/>
      <c r="K151" s="29" t="e" vm="1">
        <f>VLOOKUP(Z151,'Iconen ESFs'!$A$2:$I$5,2,FALSE)</f>
        <v>#VALUE!</v>
      </c>
      <c r="L151" s="184" t="str">
        <f>VLOOKUP($R$1,'ESF1'!$A$5:$H$24,8,FALSE)</f>
        <v>Geen veranderingen verwacht.</v>
      </c>
      <c r="M151" s="185"/>
      <c r="N151" s="186"/>
      <c r="X151" s="6">
        <f>VLOOKUP($R$1,'ESF1'!$A$5:$H$24,3,FALSE)</f>
        <v>1</v>
      </c>
      <c r="Y151" s="6">
        <f>VLOOKUP($R$1,'ESF1'!$A$5:$H$24,5,FALSE)</f>
        <v>1</v>
      </c>
      <c r="Z151" s="6">
        <f>VLOOKUP($R$1,'ESF1'!$A$5:$H$24,7,FALSE)</f>
        <v>1</v>
      </c>
      <c r="AA151" s="6"/>
      <c r="AB151" s="6"/>
      <c r="AC151" s="6"/>
      <c r="AD151" s="6"/>
    </row>
    <row r="152" spans="1:30" ht="142.80000000000001" customHeight="1" x14ac:dyDescent="0.3">
      <c r="A152" s="174" t="s">
        <v>138</v>
      </c>
      <c r="B152" s="175"/>
      <c r="C152" s="29" t="e" vm="2">
        <f>VLOOKUP(X152,'Iconen ESFs'!$A$2:$I$5,3,FALSE)</f>
        <v>#VALUE!</v>
      </c>
      <c r="D152" s="184" t="str">
        <f>VLOOKUP($R$1,'ESF2'!$A$5:$H$24,4,FALSE)</f>
        <v>Het water is helder. Er zijn voldoende ondiepe delen waar licht op de bodem valt en waar ondergedoken vegetatie tot ontwikkeling kan komen. Waterplanten komen tot ontwikkeling tot dieptes van bijna 7 m.</v>
      </c>
      <c r="E152" s="185"/>
      <c r="F152" s="186"/>
      <c r="G152" s="29" t="e" vm="2">
        <f>VLOOKUP(Y152,'Iconen ESFs'!$A$2:$I$5,3,FALSE)</f>
        <v>#VALUE!</v>
      </c>
      <c r="H152" s="184" t="str">
        <f>VLOOKUP($R$1,'ESF2'!$A$5:$H$24,6,FALSE)</f>
        <v>Geen reden voor wijziging.</v>
      </c>
      <c r="I152" s="185"/>
      <c r="J152" s="186"/>
      <c r="K152" s="29" t="e" vm="2">
        <f>VLOOKUP(Z152,'Iconen ESFs'!$A$2:$I$5,3,FALSE)</f>
        <v>#VALUE!</v>
      </c>
      <c r="L152" s="184" t="str">
        <f>VLOOKUP($R$1,'ESF2'!$A$5:$H$24,8,FALSE)</f>
        <v>Geen veranderingen verwacht.</v>
      </c>
      <c r="M152" s="185"/>
      <c r="N152" s="186"/>
      <c r="X152" s="6">
        <f>VLOOKUP($R$1,'ESF2'!$A$5:$H$24,3,FALSE)</f>
        <v>1</v>
      </c>
      <c r="Y152" s="6">
        <f>VLOOKUP($R$1,'ESF2'!$A$5:$H$24,5,FALSE)</f>
        <v>1</v>
      </c>
      <c r="Z152" s="6">
        <f>VLOOKUP($R$1,'ESF2'!$A$5:$H$24,7,FALSE)</f>
        <v>1</v>
      </c>
      <c r="AA152" s="6"/>
      <c r="AB152" s="6"/>
      <c r="AC152" s="6"/>
      <c r="AD152" s="6"/>
    </row>
    <row r="153" spans="1:30" ht="180.6" customHeight="1" x14ac:dyDescent="0.3">
      <c r="A153" s="174" t="s">
        <v>139</v>
      </c>
      <c r="B153" s="175"/>
      <c r="C153" s="29" t="e" vm="3">
        <f>VLOOKUP(X153,'Iconen ESFs'!$A$2:$I$5,4,FALSE)</f>
        <v>#VALUE!</v>
      </c>
      <c r="D153" s="184" t="str">
        <f>VLOOKUP($R$1,'ESF3'!$A$5:$H$24,4,FALSE)</f>
        <v>Het meer betreft een voormalige zandwinput. De bodem bestaat uit zand en is niet voedselrijk.</v>
      </c>
      <c r="E153" s="185"/>
      <c r="F153" s="186"/>
      <c r="G153" s="29" t="e" vm="3">
        <f>VLOOKUP(Y153,'Iconen ESFs'!$A$2:$I$5,4,FALSE)</f>
        <v>#VALUE!</v>
      </c>
      <c r="H153" s="184" t="str">
        <f>VLOOKUP($R$1,'ESF3'!$A$5:$H$24,6,FALSE)</f>
        <v>Geen reden voor wijziging.</v>
      </c>
      <c r="I153" s="185"/>
      <c r="J153" s="186"/>
      <c r="K153" s="29" t="e" vm="3">
        <f>VLOOKUP(Z153,'Iconen ESFs'!$A$2:$I$5,4,FALSE)</f>
        <v>#VALUE!</v>
      </c>
      <c r="L153" s="184" t="str">
        <f>VLOOKUP($R$1,'ESF3'!$A$5:$H$24,8,FALSE)</f>
        <v>Geen veranderingen verwacht.</v>
      </c>
      <c r="M153" s="185"/>
      <c r="N153" s="186"/>
      <c r="X153" s="6">
        <f>VLOOKUP($R$1,'ESF3'!$A$5:$H$24,3,FALSE)</f>
        <v>1</v>
      </c>
      <c r="Y153" s="6">
        <f>VLOOKUP($R$1,'ESF3'!$A$5:$H$24,5,FALSE)</f>
        <v>1</v>
      </c>
      <c r="Z153" s="6">
        <f>VLOOKUP($R$1,'ESF3'!$A$5:$H$24,7,FALSE)</f>
        <v>1</v>
      </c>
      <c r="AA153" s="6"/>
      <c r="AB153" s="6"/>
      <c r="AC153" s="6"/>
      <c r="AD153" s="6"/>
    </row>
    <row r="154" spans="1:30" ht="198" customHeight="1" x14ac:dyDescent="0.3">
      <c r="A154" s="174" t="s">
        <v>140</v>
      </c>
      <c r="B154" s="175"/>
      <c r="C154" s="29" t="e" vm="4">
        <f>VLOOKUP(X154,'Iconen ESFs'!$A$2:$I$5,5,FALSE)</f>
        <v>#VALUE!</v>
      </c>
      <c r="D154" s="184" t="str">
        <f>VLOOKUP($R$1,'ESF4'!$A$5:$H$24,4,FALSE)</f>
        <v>De oevers zijn grotendeels steil en er is plaatselijk steenstort. Er liggen ook enkele natuurlijk ingerichte oevers.</v>
      </c>
      <c r="E154" s="185"/>
      <c r="F154" s="186"/>
      <c r="G154" s="29" t="e" vm="5">
        <f>VLOOKUP(Y154,'Iconen ESFs'!$A$2:$I$5,5,FALSE)</f>
        <v>#VALUE!</v>
      </c>
      <c r="H154" s="184" t="str">
        <f>VLOOKUP($R$1,'ESF4'!$A$5:$H$24,6,FALSE)</f>
        <v>Door de aanleg van NVO’s is habitatdiversiteit verbeterd.</v>
      </c>
      <c r="I154" s="185"/>
      <c r="J154" s="186"/>
      <c r="K154" s="29" t="e" vm="5">
        <f>VLOOKUP(Z154,'Iconen ESFs'!$A$2:$I$5,5,FALSE)</f>
        <v>#VALUE!</v>
      </c>
      <c r="L154" s="184" t="str">
        <f>VLOOKUP($R$1,'ESF4'!$A$5:$H$24,8,FALSE)</f>
        <v>Geen veranderingen verwacht.</v>
      </c>
      <c r="M154" s="185"/>
      <c r="N154" s="186"/>
      <c r="X154" s="6">
        <f>VLOOKUP($R$1,'ESF4'!$A$5:$H$24,3,FALSE)</f>
        <v>2</v>
      </c>
      <c r="Y154" s="6">
        <f>VLOOKUP($R$1,'ESF4'!$A$5:$H$24,5,FALSE)</f>
        <v>1</v>
      </c>
      <c r="Z154" s="6">
        <f>VLOOKUP($R$1,'ESF4'!$A$5:$H$24,7,FALSE)</f>
        <v>1</v>
      </c>
      <c r="AA154" s="6"/>
      <c r="AB154" s="6"/>
      <c r="AC154" s="6"/>
      <c r="AD154" s="6"/>
    </row>
    <row r="155" spans="1:30" ht="167.55" customHeight="1" x14ac:dyDescent="0.3">
      <c r="A155" s="174" t="s">
        <v>141</v>
      </c>
      <c r="B155" s="175"/>
      <c r="C155" s="29" t="e" vm="6">
        <f>VLOOKUP(X155,'Iconen ESFs'!$A$2:$I$5,6,FALSE)</f>
        <v>#VALUE!</v>
      </c>
      <c r="D155" s="184"/>
      <c r="E155" s="185"/>
      <c r="F155" s="186"/>
      <c r="G155" s="29" t="e" vm="6">
        <f>VLOOKUP(Y155,'Iconen ESFs'!$A$2:$I$5,6,FALSE)</f>
        <v>#VALUE!</v>
      </c>
      <c r="H155" s="184" t="str">
        <f>VLOOKUP($R$1,'ESF5'!$A$5:$H$24,6,FALSE)</f>
        <v>Geen reden voor wijziging.</v>
      </c>
      <c r="I155" s="185"/>
      <c r="J155" s="186"/>
      <c r="K155" s="29" t="e" vm="6">
        <f>VLOOKUP(Z155,'Iconen ESFs'!$A$2:$I$5,6,FALSE)</f>
        <v>#VALUE!</v>
      </c>
      <c r="L155" s="184" t="str">
        <f>VLOOKUP($R$1,'ESF5'!$A$5:$H$24,8,FALSE)</f>
        <v xml:space="preserve">Geen veranderingen verwacht. </v>
      </c>
      <c r="M155" s="185"/>
      <c r="N155" s="186"/>
      <c r="X155" s="6">
        <f>VLOOKUP($R$1,'ESF5'!$A$5:$H$24,3,FALSE)</f>
        <v>1</v>
      </c>
      <c r="Y155" s="6">
        <f>VLOOKUP($R$1,'ESF5'!$A$5:$H$24,5,FALSE)</f>
        <v>1</v>
      </c>
      <c r="Z155" s="6">
        <f>VLOOKUP($R$1,'ESF5'!$A$5:$H$24,7,FALSE)</f>
        <v>1</v>
      </c>
      <c r="AA155" s="6"/>
      <c r="AB155" s="6"/>
      <c r="AC155" s="6"/>
      <c r="AD155" s="6"/>
    </row>
    <row r="156" spans="1:30" ht="159.6" customHeight="1" x14ac:dyDescent="0.3">
      <c r="A156" s="174" t="s">
        <v>142</v>
      </c>
      <c r="B156" s="175"/>
      <c r="C156" s="29" t="e" vm="7">
        <f>VLOOKUP(X156,'Iconen ESFs'!$A$2:$I$5,7,FALSE)</f>
        <v>#VALUE!</v>
      </c>
      <c r="D156" s="184" t="str">
        <f>VLOOKUP($R$1,'ESF6'!$A$5:$H$24,4,FALSE)</f>
        <v>Er wordt wel gemaaid, maar slechts 14% van het begroeibaar areaal. Mogelijk is er wel vraat door rivierkreeften. Het effect daarvan is onbekend.</v>
      </c>
      <c r="E156" s="185"/>
      <c r="F156" s="186"/>
      <c r="G156" s="29" t="e" vm="7">
        <f>VLOOKUP(Y156,'Iconen ESFs'!$A$2:$I$5,7,FALSE)</f>
        <v>#VALUE!</v>
      </c>
      <c r="H156" s="184" t="str">
        <f>VLOOKUP($R$1,'ESF6'!$A$5:$H$24,6,FALSE)</f>
        <v>Geen reden voor wijziging.</v>
      </c>
      <c r="I156" s="185"/>
      <c r="J156" s="186"/>
      <c r="K156" s="29" t="e" vm="7">
        <f>VLOOKUP(Z156,'Iconen ESFs'!$A$2:$I$5,7,FALSE)</f>
        <v>#VALUE!</v>
      </c>
      <c r="L156" s="184" t="str">
        <f>VLOOKUP($R$1,'ESF6'!$A$5:$H$24,8,FALSE)</f>
        <v>Geen veranderingen verwacht.</v>
      </c>
      <c r="M156" s="185"/>
      <c r="N156" s="186"/>
      <c r="X156" s="6">
        <f>VLOOKUP($R$1,'ESF6'!$A$5:$H$24,3,FALSE)</f>
        <v>1</v>
      </c>
      <c r="Y156" s="6">
        <f>VLOOKUP($R$1,'ESF6'!$A$5:$H$24,5,FALSE)</f>
        <v>1</v>
      </c>
      <c r="Z156" s="6">
        <f>VLOOKUP($R$1,'ESF6'!$A$5:$H$24,7,FALSE)</f>
        <v>1</v>
      </c>
      <c r="AA156" s="6"/>
      <c r="AB156" s="6"/>
      <c r="AC156" s="6"/>
      <c r="AD156" s="6"/>
    </row>
    <row r="157" spans="1:30" ht="193.35" customHeight="1" x14ac:dyDescent="0.3">
      <c r="A157" s="174" t="s">
        <v>143</v>
      </c>
      <c r="B157" s="175"/>
      <c r="C157" s="29" t="e" vm="8">
        <f>VLOOKUP(X157,'Iconen ESFs'!$A$2:$I$5,8,FALSE)</f>
        <v>#VALUE!</v>
      </c>
      <c r="D157" s="184" t="str">
        <f>VLOOKUP($R$1,'ESF7'!$A$5:$H$24,4,FALSE)</f>
        <v>Er zijn geen relevante bronnen. De zuurstofhuishouding is goed.</v>
      </c>
      <c r="E157" s="185"/>
      <c r="F157" s="186"/>
      <c r="G157" s="29" t="e" vm="9">
        <f>VLOOKUP(Y157,'Iconen ESFs'!$A$2:$I$5,8,FALSE)</f>
        <v>#VALUE!</v>
      </c>
      <c r="H157" s="184" t="str">
        <f>VLOOKUP($R$1,'ESF7'!$A$5:$H$24,6,FALSE)</f>
        <v>De macrofaunalevensgemeenchap duidt op stilstaand tot bewegend redelijk eutroof tot eutroof water met een redelijke tot goede zuurstofhuishouding en een
matig tot redelijk hoge organische belasting.</v>
      </c>
      <c r="I157" s="185"/>
      <c r="J157" s="186"/>
      <c r="K157" s="29" t="e" vm="9">
        <f>VLOOKUP(Z157,'Iconen ESFs'!$A$2:$I$5,8,FALSE)</f>
        <v>#VALUE!</v>
      </c>
      <c r="L157" s="184" t="str">
        <f>VLOOKUP($R$1,'ESF7'!$A$5:$H$24,8,FALSE)</f>
        <v>Geen veranderingen verwacht.</v>
      </c>
      <c r="M157" s="185"/>
      <c r="N157" s="186"/>
      <c r="X157" s="6">
        <f>VLOOKUP($R$1,'ESF7'!$A$5:$H$24,3,FALSE)</f>
        <v>1</v>
      </c>
      <c r="Y157" s="6">
        <f>VLOOKUP($R$1,'ESF7'!$A$5:$H$24,5,FALSE)</f>
        <v>2</v>
      </c>
      <c r="Z157" s="6">
        <f>VLOOKUP($R$1,'ESF7'!$A$5:$H$24,7,FALSE)</f>
        <v>2</v>
      </c>
      <c r="AA157" s="6"/>
      <c r="AB157" s="6"/>
      <c r="AC157" s="6"/>
      <c r="AD157" s="6"/>
    </row>
    <row r="158" spans="1:30" ht="201.6" customHeight="1" x14ac:dyDescent="0.3">
      <c r="A158" s="174" t="s">
        <v>144</v>
      </c>
      <c r="B158" s="175"/>
      <c r="C158" s="29" t="e" vm="8">
        <f>VLOOKUP(X158,'Iconen ESFs'!$A$2:$I$5,8,FALSE)</f>
        <v>#VALUE!</v>
      </c>
      <c r="D158" s="184" t="str">
        <f>VLOOKUP($R$1,'ESF8'!$A$5:$H$24,4,FALSE)</f>
        <v>De stoffen die de norm overschrijden, worden niet aangemerkt als stoffen met een hoog ecologisch risico.</v>
      </c>
      <c r="E158" s="185"/>
      <c r="F158" s="186"/>
      <c r="G158" s="29" t="e" vm="8">
        <f>VLOOKUP(Y158,'Iconen ESFs'!$A$2:$I$5,8,FALSE)</f>
        <v>#VALUE!</v>
      </c>
      <c r="H158" s="184" t="str">
        <f>VLOOKUP($R$1,'ESF8'!$A$5:$H$24,6,FALSE)</f>
        <v>Geen reden voor wijziging.</v>
      </c>
      <c r="I158" s="185"/>
      <c r="J158" s="186"/>
      <c r="K158" s="29" t="e" vm="8">
        <f>VLOOKUP(Z158,'Iconen ESFs'!$A$2:$I$5,8,FALSE)</f>
        <v>#VALUE!</v>
      </c>
      <c r="L158" s="184" t="str">
        <f>VLOOKUP($R$1,'ESF8'!$A$5:$H$24,8,FALSE)</f>
        <v>Geen veranderingen verwacht.</v>
      </c>
      <c r="M158" s="185"/>
      <c r="N158" s="186"/>
      <c r="X158" s="6">
        <f>VLOOKUP($R$1,'ESF8'!$A$5:$H$24,3,FALSE)</f>
        <v>1</v>
      </c>
      <c r="Y158" s="6">
        <f>VLOOKUP($R$1,'ESF8'!$A$5:$H$24,5,FALSE)</f>
        <v>1</v>
      </c>
      <c r="Z158" s="6">
        <f>VLOOKUP($R$1,'ESF8'!$A$5:$H$24,7,FALSE)</f>
        <v>1</v>
      </c>
      <c r="AA158" s="6"/>
      <c r="AB158" s="6"/>
      <c r="AC158" s="6"/>
      <c r="AD158" s="6"/>
    </row>
    <row r="159" spans="1:30" ht="15.6" x14ac:dyDescent="0.3">
      <c r="A159" s="176" t="s">
        <v>753</v>
      </c>
      <c r="B159" s="177"/>
      <c r="C159" s="177"/>
      <c r="D159" s="177"/>
      <c r="E159" s="177"/>
      <c r="F159" s="177"/>
      <c r="G159" s="177"/>
      <c r="H159" s="177"/>
      <c r="I159" s="177"/>
      <c r="J159" s="177"/>
      <c r="K159" s="178"/>
      <c r="L159" s="145"/>
      <c r="M159" s="145"/>
      <c r="N159" s="145"/>
    </row>
    <row r="160" spans="1:30" ht="15.6" x14ac:dyDescent="0.3">
      <c r="A160" s="187" t="str">
        <f>A1</f>
        <v>NL37_Weerwater</v>
      </c>
      <c r="B160" s="187"/>
      <c r="C160" s="187"/>
      <c r="D160" s="176" t="str">
        <f>D1</f>
        <v>Weerwater</v>
      </c>
      <c r="E160" s="177"/>
      <c r="F160" s="177"/>
      <c r="G160" s="177"/>
      <c r="H160" s="177"/>
      <c r="I160" s="177"/>
      <c r="J160" s="177"/>
      <c r="K160" s="178"/>
      <c r="L160" s="149"/>
      <c r="M160" s="149"/>
      <c r="N160" s="149"/>
    </row>
    <row r="161" spans="1:14" ht="171.6" customHeight="1" x14ac:dyDescent="0.3">
      <c r="A161" s="198" t="s">
        <v>58</v>
      </c>
      <c r="B161" s="198"/>
      <c r="C161" s="198"/>
      <c r="D161" s="184" t="str">
        <f>VLOOKUP($R$1,Fytoplankton!$A$4:$AF$23,32,FALSE)</f>
        <v>Zowel de eigen methode als de KRW-verkenner verwachten een toestand die fors hoger is dan 0,60 EKR. Het GEP blijft daarom ongewijzigd 0,60 EKR.</v>
      </c>
      <c r="E161" s="185"/>
      <c r="F161" s="185"/>
      <c r="G161" s="185"/>
      <c r="H161" s="185"/>
      <c r="I161" s="185"/>
      <c r="J161" s="185"/>
      <c r="K161" s="186"/>
      <c r="L161" s="23"/>
      <c r="M161" s="23"/>
      <c r="N161" s="23"/>
    </row>
    <row r="162" spans="1:14" ht="171.6" customHeight="1" x14ac:dyDescent="0.3">
      <c r="A162" s="198" t="s">
        <v>59</v>
      </c>
      <c r="B162" s="198"/>
      <c r="C162" s="198"/>
      <c r="D162" s="184" t="str">
        <f>VLOOKUP($R$1,Vegetatie!$A$4:$AF$23,32,FALSE)</f>
        <v xml:space="preserve">Volgens de eigen methode wordt een EKR verwacht van 0,57. De KRW-verkenner berekent eveneens een verbetering van de toestand. De toestand 2025 laat een achteruitgang zien, maar de NVO's zijn nog niet in de monitoring betrokken. Rekening houdend met de onzekerheidsmarge van 0,03 EKR wordt het GEP bijgesteld naar 0,54 EKR. </v>
      </c>
      <c r="E162" s="185"/>
      <c r="F162" s="185"/>
      <c r="G162" s="185"/>
      <c r="H162" s="185"/>
      <c r="I162" s="185"/>
      <c r="J162" s="185"/>
      <c r="K162" s="186"/>
      <c r="L162" s="23"/>
      <c r="M162" s="23"/>
      <c r="N162" s="23"/>
    </row>
    <row r="163" spans="1:14" ht="171.6" customHeight="1" x14ac:dyDescent="0.3">
      <c r="A163" s="198" t="s">
        <v>60</v>
      </c>
      <c r="B163" s="198"/>
      <c r="C163" s="198"/>
      <c r="D163" s="184" t="str">
        <f>VLOOKUP($R$1,Macrofauna!$A$4:$AF$23,32,FALSE)</f>
        <v>Volgens de eigen methode wordt een EKR verwacht van 0,45. De KRW-verkenner berekent echter geen verandering in toestand. De toestand 2025 laat een verbetering zien, ondanks dat de NVO's nog niet in de monitoring betrokken zijn. Rekening houdend met de onzekerheidsmarge van 0,03 EKR wordt het GEP bijgesteld naar 0,42 EKR.</v>
      </c>
      <c r="E163" s="185"/>
      <c r="F163" s="185"/>
      <c r="G163" s="185"/>
      <c r="H163" s="185"/>
      <c r="I163" s="185"/>
      <c r="J163" s="185"/>
      <c r="K163" s="186"/>
      <c r="L163" s="23"/>
      <c r="M163" s="23"/>
      <c r="N163" s="23"/>
    </row>
    <row r="164" spans="1:14" ht="171.6" customHeight="1" x14ac:dyDescent="0.3">
      <c r="A164" s="198" t="s">
        <v>61</v>
      </c>
      <c r="B164" s="198"/>
      <c r="C164" s="198"/>
      <c r="D164" s="184" t="str">
        <f>VLOOKUP($R$1,Vis!$A$4:$AF$23,32,FALSE)</f>
        <v>Volgens de eigen methode wordt een EKR verwacht van 0,49. De KRW-verkenner berekent geen verandering van de toestand. Recente monitoringdata (2025) laten een forse toename zien t.o.v. die in 2019 ondanks dat de NVO's nog niet in de monitoring betrokken zijn. Alhoewel dit een positieve ontwikkeling is, wordt hier gelet op het beperkte aantal monitoringresultaten (1x/6jaar) voor GEP4 nog geen rekening mee gehouden. Als de trend doorzet, kan dit wel voor SGBP5. Rekening houdend met de onzekerheidsmarge van 0,03 EKR zou het GEP naar beneden bijgesteld moeten worden naar 0,46 EKR.  Door de fors hogere toestand in 2025,  is er voor gekozen het GEP niet aan te passen.</v>
      </c>
      <c r="E164" s="185"/>
      <c r="F164" s="185"/>
      <c r="G164" s="185"/>
      <c r="H164" s="185"/>
      <c r="I164" s="185"/>
      <c r="J164" s="185"/>
      <c r="K164" s="186"/>
      <c r="L164" s="23"/>
      <c r="M164" s="23"/>
      <c r="N164" s="23"/>
    </row>
  </sheetData>
  <sortState xmlns:xlrd2="http://schemas.microsoft.com/office/spreadsheetml/2017/richdata2" ref="O85:P104">
    <sortCondition descending="1" ref="O85:O104"/>
  </sortState>
  <mergeCells count="72">
    <mergeCell ref="A164:C164"/>
    <mergeCell ref="D161:K161"/>
    <mergeCell ref="D162:K162"/>
    <mergeCell ref="D163:K163"/>
    <mergeCell ref="D164:K164"/>
    <mergeCell ref="A163:C163"/>
    <mergeCell ref="A161:C161"/>
    <mergeCell ref="A162:C162"/>
    <mergeCell ref="A160:C160"/>
    <mergeCell ref="A159:K159"/>
    <mergeCell ref="D160:K160"/>
    <mergeCell ref="A148:C148"/>
    <mergeCell ref="D148:F148"/>
    <mergeCell ref="G148:N148"/>
    <mergeCell ref="L156:N156"/>
    <mergeCell ref="L157:N157"/>
    <mergeCell ref="L158:N158"/>
    <mergeCell ref="A149:B150"/>
    <mergeCell ref="C149:F149"/>
    <mergeCell ref="G149:J149"/>
    <mergeCell ref="K149:N149"/>
    <mergeCell ref="D150:F150"/>
    <mergeCell ref="H150:J150"/>
    <mergeCell ref="L150:N150"/>
    <mergeCell ref="B116:E116"/>
    <mergeCell ref="G116:J116"/>
    <mergeCell ref="K116:N116"/>
    <mergeCell ref="A27:C27"/>
    <mergeCell ref="D27:N27"/>
    <mergeCell ref="A83:B83"/>
    <mergeCell ref="C83:N83"/>
    <mergeCell ref="L151:N151"/>
    <mergeCell ref="L152:N152"/>
    <mergeCell ref="L153:N153"/>
    <mergeCell ref="L154:N154"/>
    <mergeCell ref="L155:N155"/>
    <mergeCell ref="D158:F158"/>
    <mergeCell ref="H151:J151"/>
    <mergeCell ref="H152:J152"/>
    <mergeCell ref="H153:J153"/>
    <mergeCell ref="H154:J154"/>
    <mergeCell ref="H155:J155"/>
    <mergeCell ref="H156:J156"/>
    <mergeCell ref="H157:J157"/>
    <mergeCell ref="H158:J158"/>
    <mergeCell ref="D151:F151"/>
    <mergeCell ref="D152:F152"/>
    <mergeCell ref="D153:F153"/>
    <mergeCell ref="D154:F154"/>
    <mergeCell ref="D155:F155"/>
    <mergeCell ref="A158:B158"/>
    <mergeCell ref="A151:B151"/>
    <mergeCell ref="A152:B152"/>
    <mergeCell ref="A153:B153"/>
    <mergeCell ref="A154:B154"/>
    <mergeCell ref="A155:B155"/>
    <mergeCell ref="P23:R23"/>
    <mergeCell ref="P24:R25"/>
    <mergeCell ref="P1:Q1"/>
    <mergeCell ref="A156:B156"/>
    <mergeCell ref="A157:B157"/>
    <mergeCell ref="A82:N82"/>
    <mergeCell ref="A26:N26"/>
    <mergeCell ref="J1:N1"/>
    <mergeCell ref="A1:C1"/>
    <mergeCell ref="A2:N2"/>
    <mergeCell ref="D1:H1"/>
    <mergeCell ref="K84:N84"/>
    <mergeCell ref="B84:E84"/>
    <mergeCell ref="G84:J84"/>
    <mergeCell ref="D157:F157"/>
    <mergeCell ref="D156:F156"/>
  </mergeCells>
  <pageMargins left="0.7" right="0.7" top="0.75" bottom="0.75"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66" r:id="rId4" name="List Box 18">
              <controlPr defaultSize="0" autoLine="0" autoPict="0">
                <anchor moveWithCells="1">
                  <from>
                    <xdr:col>15</xdr:col>
                    <xdr:colOff>0</xdr:colOff>
                    <xdr:row>2</xdr:row>
                    <xdr:rowOff>0</xdr:rowOff>
                  </from>
                  <to>
                    <xdr:col>18</xdr:col>
                    <xdr:colOff>0</xdr:colOff>
                    <xdr:row>21</xdr:row>
                    <xdr:rowOff>0</xdr:rowOff>
                  </to>
                </anchor>
              </controlPr>
            </control>
          </mc:Choice>
        </mc:AlternateContent>
        <mc:AlternateContent xmlns:mc="http://schemas.openxmlformats.org/markup-compatibility/2006">
          <mc:Choice Requires="x14">
            <control shapeId="2070" r:id="rId5" name="List Box 22">
              <controlPr defaultSize="0" autoLine="0" autoPict="0">
                <anchor moveWithCells="1">
                  <from>
                    <xdr:col>14</xdr:col>
                    <xdr:colOff>175260</xdr:colOff>
                    <xdr:row>26</xdr:row>
                    <xdr:rowOff>0</xdr:rowOff>
                  </from>
                  <to>
                    <xdr:col>18</xdr:col>
                    <xdr:colOff>0</xdr:colOff>
                    <xdr:row>47</xdr:row>
                    <xdr:rowOff>99060</xdr:rowOff>
                  </to>
                </anchor>
              </controlPr>
            </control>
          </mc:Choice>
        </mc:AlternateContent>
        <mc:AlternateContent xmlns:mc="http://schemas.openxmlformats.org/markup-compatibility/2006">
          <mc:Choice Requires="x14">
            <control shapeId="2071" r:id="rId6" name="List Box 23">
              <controlPr defaultSize="0" autoLine="0" autoPict="0">
                <anchor moveWithCells="1">
                  <from>
                    <xdr:col>15</xdr:col>
                    <xdr:colOff>0</xdr:colOff>
                    <xdr:row>82</xdr:row>
                    <xdr:rowOff>0</xdr:rowOff>
                  </from>
                  <to>
                    <xdr:col>18</xdr:col>
                    <xdr:colOff>15240</xdr:colOff>
                    <xdr:row>103</xdr:row>
                    <xdr:rowOff>99060</xdr:rowOff>
                  </to>
                </anchor>
              </controlPr>
            </control>
          </mc:Choice>
        </mc:AlternateContent>
        <mc:AlternateContent xmlns:mc="http://schemas.openxmlformats.org/markup-compatibility/2006">
          <mc:Choice Requires="x14">
            <control shapeId="2072" r:id="rId7" name="List Box 24">
              <controlPr defaultSize="0" autoLine="0" autoPict="0">
                <anchor moveWithCells="1">
                  <from>
                    <xdr:col>15</xdr:col>
                    <xdr:colOff>0</xdr:colOff>
                    <xdr:row>150</xdr:row>
                    <xdr:rowOff>0</xdr:rowOff>
                  </from>
                  <to>
                    <xdr:col>18</xdr:col>
                    <xdr:colOff>0</xdr:colOff>
                    <xdr:row>151</xdr:row>
                    <xdr:rowOff>1173480</xdr:rowOff>
                  </to>
                </anchor>
              </controlPr>
            </control>
          </mc:Choice>
        </mc:AlternateContent>
        <mc:AlternateContent xmlns:mc="http://schemas.openxmlformats.org/markup-compatibility/2006">
          <mc:Choice Requires="x14">
            <control shapeId="2074" r:id="rId8" name="List Box 26">
              <controlPr defaultSize="0" autoLine="0" autoPict="0">
                <anchor moveWithCells="1">
                  <from>
                    <xdr:col>15</xdr:col>
                    <xdr:colOff>0</xdr:colOff>
                    <xdr:row>153</xdr:row>
                    <xdr:rowOff>2491740</xdr:rowOff>
                  </from>
                  <to>
                    <xdr:col>18</xdr:col>
                    <xdr:colOff>0</xdr:colOff>
                    <xdr:row>155</xdr:row>
                    <xdr:rowOff>1821180</xdr:rowOff>
                  </to>
                </anchor>
              </controlPr>
            </control>
          </mc:Choice>
        </mc:AlternateContent>
        <mc:AlternateContent xmlns:mc="http://schemas.openxmlformats.org/markup-compatibility/2006">
          <mc:Choice Requires="x14">
            <control shapeId="2363" r:id="rId9" name="List Box 315">
              <controlPr defaultSize="0" autoLine="0" autoPict="0">
                <anchor moveWithCells="1">
                  <from>
                    <xdr:col>15</xdr:col>
                    <xdr:colOff>0</xdr:colOff>
                    <xdr:row>116</xdr:row>
                    <xdr:rowOff>0</xdr:rowOff>
                  </from>
                  <to>
                    <xdr:col>18</xdr:col>
                    <xdr:colOff>0</xdr:colOff>
                    <xdr:row>137</xdr:row>
                    <xdr:rowOff>121920</xdr:rowOff>
                  </to>
                </anchor>
              </controlPr>
            </control>
          </mc:Choice>
        </mc:AlternateContent>
        <mc:AlternateContent xmlns:mc="http://schemas.openxmlformats.org/markup-compatibility/2006">
          <mc:Choice Requires="x14">
            <control shapeId="2364" r:id="rId10" name="List Box 316">
              <controlPr defaultSize="0" autoLine="0" autoPict="0">
                <anchor moveWithCells="1">
                  <from>
                    <xdr:col>15</xdr:col>
                    <xdr:colOff>312420</xdr:colOff>
                    <xdr:row>158</xdr:row>
                    <xdr:rowOff>22860</xdr:rowOff>
                  </from>
                  <to>
                    <xdr:col>19</xdr:col>
                    <xdr:colOff>7620</xdr:colOff>
                    <xdr:row>161</xdr:row>
                    <xdr:rowOff>1402080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EAD27-B2F8-42C4-9539-7187A6C8BB60}">
  <dimension ref="A2:H24"/>
  <sheetViews>
    <sheetView workbookViewId="0">
      <pane ySplit="4" topLeftCell="A5" activePane="bottomLeft" state="frozen"/>
      <selection pane="bottomLeft" activeCell="A5" sqref="A5"/>
    </sheetView>
  </sheetViews>
  <sheetFormatPr defaultRowHeight="14.4" x14ac:dyDescent="0.3"/>
  <cols>
    <col min="1" max="1" width="6.5546875" customWidth="1"/>
    <col min="2" max="2" width="25.5546875" bestFit="1" customWidth="1"/>
    <col min="3" max="3" width="8.44140625" customWidth="1"/>
    <col min="4" max="4" width="36.44140625" customWidth="1"/>
    <col min="5" max="5" width="8.44140625" customWidth="1"/>
    <col min="6" max="6" width="36.44140625" customWidth="1"/>
    <col min="7" max="7" width="8.44140625" customWidth="1"/>
    <col min="8" max="8" width="36.44140625" customWidth="1"/>
  </cols>
  <sheetData>
    <row r="2" spans="1:8" x14ac:dyDescent="0.3">
      <c r="A2" s="231" t="s">
        <v>149</v>
      </c>
      <c r="B2" s="231" t="s">
        <v>150</v>
      </c>
      <c r="C2" s="232" t="s">
        <v>571</v>
      </c>
      <c r="D2" s="232"/>
      <c r="E2" s="232"/>
      <c r="F2" s="232"/>
      <c r="G2" s="232"/>
      <c r="H2" s="232"/>
    </row>
    <row r="3" spans="1:8" x14ac:dyDescent="0.3">
      <c r="A3" s="231"/>
      <c r="B3" s="231"/>
      <c r="C3" s="231" t="s">
        <v>130</v>
      </c>
      <c r="D3" s="231"/>
      <c r="E3" s="231" t="s">
        <v>131</v>
      </c>
      <c r="F3" s="231"/>
      <c r="G3" s="232" t="s">
        <v>132</v>
      </c>
      <c r="H3" s="232"/>
    </row>
    <row r="4" spans="1:8" x14ac:dyDescent="0.3">
      <c r="A4" s="231"/>
      <c r="B4" s="231"/>
      <c r="C4" s="32" t="s">
        <v>487</v>
      </c>
      <c r="D4" s="32" t="s">
        <v>5</v>
      </c>
      <c r="E4" s="32" t="s">
        <v>487</v>
      </c>
      <c r="F4" s="32" t="s">
        <v>5</v>
      </c>
      <c r="G4" s="32" t="s">
        <v>487</v>
      </c>
      <c r="H4" s="32" t="s">
        <v>5</v>
      </c>
    </row>
    <row r="5" spans="1:8" ht="100.8" x14ac:dyDescent="0.3">
      <c r="A5" s="52">
        <v>1</v>
      </c>
      <c r="B5" s="52" t="str">
        <f>WLs!C4</f>
        <v>Tochten ABC1</v>
      </c>
      <c r="C5" s="23">
        <v>1</v>
      </c>
      <c r="D5" s="23" t="s">
        <v>572</v>
      </c>
      <c r="E5" s="23">
        <v>1</v>
      </c>
      <c r="F5" s="23" t="s">
        <v>573</v>
      </c>
      <c r="G5" s="23">
        <v>1</v>
      </c>
      <c r="H5" s="23" t="s">
        <v>490</v>
      </c>
    </row>
    <row r="6" spans="1:8" ht="86.4" x14ac:dyDescent="0.3">
      <c r="A6" s="52">
        <v>2</v>
      </c>
      <c r="B6" s="52" t="str">
        <f>WLs!C5</f>
        <v>Tochten ABC2</v>
      </c>
      <c r="C6" s="23">
        <v>1</v>
      </c>
      <c r="D6" s="23" t="s">
        <v>574</v>
      </c>
      <c r="E6" s="23">
        <v>1</v>
      </c>
      <c r="F6" s="23" t="s">
        <v>575</v>
      </c>
      <c r="G6" s="23">
        <v>1</v>
      </c>
      <c r="H6" s="23" t="s">
        <v>490</v>
      </c>
    </row>
    <row r="7" spans="1:8" ht="86.4" x14ac:dyDescent="0.3">
      <c r="A7" s="52">
        <v>3</v>
      </c>
      <c r="B7" s="52" t="str">
        <f>WLs!C6</f>
        <v>Tochten DE Almere</v>
      </c>
      <c r="C7" s="23"/>
      <c r="D7" s="23" t="s">
        <v>492</v>
      </c>
      <c r="E7" s="23">
        <v>1</v>
      </c>
      <c r="F7" s="23" t="s">
        <v>576</v>
      </c>
      <c r="G7" s="23">
        <v>1</v>
      </c>
      <c r="H7" s="23" t="s">
        <v>577</v>
      </c>
    </row>
    <row r="8" spans="1:8" ht="115.2" x14ac:dyDescent="0.3">
      <c r="A8" s="52">
        <v>4</v>
      </c>
      <c r="B8" s="52" t="str">
        <f>WLs!C7</f>
        <v>Tochten DE Zuidlob</v>
      </c>
      <c r="C8" s="23"/>
      <c r="D8" s="23" t="s">
        <v>492</v>
      </c>
      <c r="E8" s="23">
        <v>1</v>
      </c>
      <c r="F8" s="23" t="s">
        <v>578</v>
      </c>
      <c r="G8" s="23">
        <v>1</v>
      </c>
      <c r="H8" s="23" t="s">
        <v>579</v>
      </c>
    </row>
    <row r="9" spans="1:8" ht="129.6" x14ac:dyDescent="0.3">
      <c r="A9" s="52">
        <v>5</v>
      </c>
      <c r="B9" s="52" t="str">
        <f>WLs!C8</f>
        <v>Tochten FGIK</v>
      </c>
      <c r="C9" s="23">
        <v>2</v>
      </c>
      <c r="D9" s="23" t="s">
        <v>580</v>
      </c>
      <c r="E9" s="23">
        <v>1</v>
      </c>
      <c r="F9" s="23" t="s">
        <v>581</v>
      </c>
      <c r="G9" s="23">
        <v>1</v>
      </c>
      <c r="H9" s="23" t="s">
        <v>582</v>
      </c>
    </row>
    <row r="10" spans="1:8" ht="86.4" x14ac:dyDescent="0.3">
      <c r="A10" s="52">
        <v>6</v>
      </c>
      <c r="B10" s="52" t="str">
        <f>WLs!C9</f>
        <v>Tochten H</v>
      </c>
      <c r="C10" s="23">
        <v>1</v>
      </c>
      <c r="D10" s="23" t="s">
        <v>583</v>
      </c>
      <c r="E10" s="23">
        <v>1</v>
      </c>
      <c r="F10" s="23" t="s">
        <v>584</v>
      </c>
      <c r="G10" s="23">
        <v>1</v>
      </c>
      <c r="H10" s="23" t="s">
        <v>490</v>
      </c>
    </row>
    <row r="11" spans="1:8" ht="144" x14ac:dyDescent="0.3">
      <c r="A11" s="52">
        <v>7</v>
      </c>
      <c r="B11" s="52" t="str">
        <f>WLs!C10</f>
        <v>Tochten J</v>
      </c>
      <c r="C11" s="23">
        <v>3</v>
      </c>
      <c r="D11" s="23" t="s">
        <v>585</v>
      </c>
      <c r="E11" s="23">
        <v>2</v>
      </c>
      <c r="F11" s="23" t="s">
        <v>586</v>
      </c>
      <c r="G11" s="23">
        <v>2</v>
      </c>
      <c r="H11" s="23" t="s">
        <v>490</v>
      </c>
    </row>
    <row r="12" spans="1:8" ht="115.2" x14ac:dyDescent="0.3">
      <c r="A12" s="52">
        <v>8</v>
      </c>
      <c r="B12" s="52" t="str">
        <f>WLs!C11</f>
        <v>Tochten lage afdeling NOP</v>
      </c>
      <c r="C12" s="23">
        <v>3</v>
      </c>
      <c r="D12" s="23" t="s">
        <v>587</v>
      </c>
      <c r="E12" s="23">
        <v>2</v>
      </c>
      <c r="F12" s="23" t="s">
        <v>586</v>
      </c>
      <c r="G12" s="23">
        <v>2</v>
      </c>
      <c r="H12" s="23" t="s">
        <v>490</v>
      </c>
    </row>
    <row r="13" spans="1:8" ht="100.8" x14ac:dyDescent="0.3">
      <c r="A13" s="52">
        <v>9</v>
      </c>
      <c r="B13" s="52" t="str">
        <f>WLs!C12</f>
        <v>Tochten hoge afdeling NOP</v>
      </c>
      <c r="C13" s="23">
        <v>3</v>
      </c>
      <c r="D13" s="23" t="s">
        <v>588</v>
      </c>
      <c r="E13" s="23">
        <v>2</v>
      </c>
      <c r="F13" s="23" t="s">
        <v>589</v>
      </c>
      <c r="G13" s="23">
        <v>2</v>
      </c>
      <c r="H13" s="23" t="s">
        <v>490</v>
      </c>
    </row>
    <row r="14" spans="1:8" ht="100.8" x14ac:dyDescent="0.3">
      <c r="A14" s="52">
        <v>10</v>
      </c>
      <c r="B14" s="52" t="str">
        <f>WLs!C13</f>
        <v>Vaarten NOP</v>
      </c>
      <c r="C14" s="23">
        <v>1</v>
      </c>
      <c r="D14" s="23" t="s">
        <v>590</v>
      </c>
      <c r="E14" s="23">
        <v>2</v>
      </c>
      <c r="F14" s="23" t="s">
        <v>591</v>
      </c>
      <c r="G14" s="23">
        <v>1</v>
      </c>
      <c r="H14" s="23" t="s">
        <v>592</v>
      </c>
    </row>
    <row r="15" spans="1:8" ht="86.4" x14ac:dyDescent="0.3">
      <c r="A15" s="52">
        <v>11</v>
      </c>
      <c r="B15" s="52" t="str">
        <f>WLs!C14</f>
        <v>Vaarten hoge afdeling ZOF</v>
      </c>
      <c r="C15" s="23">
        <v>1</v>
      </c>
      <c r="D15" s="23" t="s">
        <v>593</v>
      </c>
      <c r="E15" s="23">
        <v>2</v>
      </c>
      <c r="F15" s="23" t="s">
        <v>594</v>
      </c>
      <c r="G15" s="23">
        <v>1</v>
      </c>
      <c r="H15" s="23" t="s">
        <v>592</v>
      </c>
    </row>
    <row r="16" spans="1:8" ht="115.2" x14ac:dyDescent="0.3">
      <c r="A16" s="52">
        <v>12</v>
      </c>
      <c r="B16" s="52" t="str">
        <f>WLs!C15</f>
        <v>Vaarten lage afdeling ZOF</v>
      </c>
      <c r="C16" s="23">
        <v>1</v>
      </c>
      <c r="D16" s="23" t="s">
        <v>595</v>
      </c>
      <c r="E16" s="23">
        <v>2</v>
      </c>
      <c r="F16" s="23" t="s">
        <v>594</v>
      </c>
      <c r="G16" s="23">
        <v>1</v>
      </c>
      <c r="H16" s="23" t="s">
        <v>592</v>
      </c>
    </row>
    <row r="17" spans="1:8" ht="144" x14ac:dyDescent="0.3">
      <c r="A17" s="52">
        <v>13</v>
      </c>
      <c r="B17" s="52" t="str">
        <f>WLs!C16</f>
        <v>Bovenwater</v>
      </c>
      <c r="C17" s="23">
        <v>3</v>
      </c>
      <c r="D17" s="23" t="s">
        <v>596</v>
      </c>
      <c r="E17" s="23">
        <v>3</v>
      </c>
      <c r="F17" s="23" t="s">
        <v>543</v>
      </c>
      <c r="G17" s="23">
        <v>3</v>
      </c>
      <c r="H17" s="23" t="s">
        <v>490</v>
      </c>
    </row>
    <row r="18" spans="1:8" ht="72" x14ac:dyDescent="0.3">
      <c r="A18" s="52">
        <v>14</v>
      </c>
      <c r="B18" s="52" t="str">
        <f>WLs!C17</f>
        <v>Harderbroek (oude deel)</v>
      </c>
      <c r="C18" s="23">
        <v>2</v>
      </c>
      <c r="D18" s="23" t="s">
        <v>597</v>
      </c>
      <c r="E18" s="23">
        <v>0</v>
      </c>
      <c r="F18" s="23" t="s">
        <v>511</v>
      </c>
      <c r="G18" s="23">
        <v>1</v>
      </c>
      <c r="H18" s="23" t="s">
        <v>598</v>
      </c>
    </row>
    <row r="19" spans="1:8" ht="100.8" x14ac:dyDescent="0.3">
      <c r="A19" s="52">
        <v>15</v>
      </c>
      <c r="B19" s="52" t="str">
        <f>WLs!C18</f>
        <v>Harderbroek Roerdomp</v>
      </c>
      <c r="C19" s="23">
        <v>2</v>
      </c>
      <c r="D19" s="23" t="s">
        <v>599</v>
      </c>
      <c r="E19" s="23">
        <v>2</v>
      </c>
      <c r="F19" s="23" t="s">
        <v>489</v>
      </c>
      <c r="G19" s="23">
        <v>2</v>
      </c>
      <c r="H19" s="23" t="s">
        <v>514</v>
      </c>
    </row>
    <row r="20" spans="1:8" ht="57.6" x14ac:dyDescent="0.3">
      <c r="A20" s="52">
        <v>16</v>
      </c>
      <c r="B20" s="52" t="str">
        <f>WLs!C19</f>
        <v>Lepelaarplassen</v>
      </c>
      <c r="C20" s="23">
        <v>1</v>
      </c>
      <c r="D20" s="23" t="s">
        <v>600</v>
      </c>
      <c r="E20" s="23">
        <v>1</v>
      </c>
      <c r="F20" s="23" t="s">
        <v>543</v>
      </c>
      <c r="G20" s="23">
        <v>1</v>
      </c>
      <c r="H20" s="23" t="s">
        <v>516</v>
      </c>
    </row>
    <row r="21" spans="1:8" ht="72" x14ac:dyDescent="0.3">
      <c r="A21" s="52">
        <v>17</v>
      </c>
      <c r="B21" s="52" t="str">
        <f>WLs!C20</f>
        <v>Noorderplassen</v>
      </c>
      <c r="C21" s="23">
        <v>3</v>
      </c>
      <c r="D21" s="23" t="s">
        <v>601</v>
      </c>
      <c r="E21" s="23">
        <v>2</v>
      </c>
      <c r="F21" s="23" t="s">
        <v>602</v>
      </c>
      <c r="G21" s="23">
        <v>2</v>
      </c>
      <c r="H21" s="23" t="s">
        <v>490</v>
      </c>
    </row>
    <row r="22" spans="1:8" ht="100.8" x14ac:dyDescent="0.3">
      <c r="A22" s="52">
        <v>18</v>
      </c>
      <c r="B22" s="52" t="str">
        <f>WLs!C21</f>
        <v>Oostvaardersplassen</v>
      </c>
      <c r="C22" s="23">
        <v>0</v>
      </c>
      <c r="D22" s="23" t="s">
        <v>518</v>
      </c>
      <c r="E22" s="23">
        <v>0</v>
      </c>
      <c r="F22" s="23" t="s">
        <v>518</v>
      </c>
      <c r="G22" s="23">
        <v>0</v>
      </c>
      <c r="H22" s="23" t="s">
        <v>603</v>
      </c>
    </row>
    <row r="23" spans="1:8" ht="288" x14ac:dyDescent="0.3">
      <c r="A23" s="52">
        <v>19</v>
      </c>
      <c r="B23" s="52" t="str">
        <f>WLs!C22</f>
        <v>Vollenhover- en Kadoelermeer</v>
      </c>
      <c r="C23" s="30">
        <v>2</v>
      </c>
      <c r="D23" s="23" t="s">
        <v>604</v>
      </c>
      <c r="E23" s="23">
        <v>2</v>
      </c>
      <c r="F23" s="23" t="s">
        <v>543</v>
      </c>
      <c r="G23" s="23">
        <v>1</v>
      </c>
      <c r="H23" s="23" t="s">
        <v>605</v>
      </c>
    </row>
    <row r="24" spans="1:8" ht="43.8" thickBot="1" x14ac:dyDescent="0.35">
      <c r="A24" s="52">
        <v>20</v>
      </c>
      <c r="B24" s="52" t="str">
        <f>WLs!C23</f>
        <v>Weerwater</v>
      </c>
      <c r="C24" s="31">
        <v>2</v>
      </c>
      <c r="D24" s="23" t="s">
        <v>606</v>
      </c>
      <c r="E24" s="23">
        <v>1</v>
      </c>
      <c r="F24" s="23" t="s">
        <v>607</v>
      </c>
      <c r="G24" s="23">
        <v>1</v>
      </c>
      <c r="H24" s="23" t="s">
        <v>490</v>
      </c>
    </row>
  </sheetData>
  <mergeCells count="6">
    <mergeCell ref="A2:A4"/>
    <mergeCell ref="B2:B4"/>
    <mergeCell ref="G3:H3"/>
    <mergeCell ref="C2:H2"/>
    <mergeCell ref="C3:D3"/>
    <mergeCell ref="E3:F3"/>
  </mergeCells>
  <conditionalFormatting sqref="C5:C24 E5:E24 G5:G24">
    <cfRule type="cellIs" dxfId="23" priority="9" operator="equal">
      <formula>0</formula>
    </cfRule>
    <cfRule type="cellIs" dxfId="22" priority="10" operator="equal">
      <formula>3</formula>
    </cfRule>
    <cfRule type="cellIs" dxfId="21" priority="11" operator="equal">
      <formula>2</formula>
    </cfRule>
    <cfRule type="cellIs" dxfId="20" priority="12" operator="equal">
      <formula>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8C042-D635-4EA6-B3C2-D6B06EFD67E6}">
  <dimension ref="A2:H24"/>
  <sheetViews>
    <sheetView workbookViewId="0">
      <pane ySplit="4" topLeftCell="A5" activePane="bottomLeft" state="frozen"/>
      <selection pane="bottomLeft" activeCell="A5" sqref="A5"/>
    </sheetView>
  </sheetViews>
  <sheetFormatPr defaultRowHeight="14.4" x14ac:dyDescent="0.3"/>
  <cols>
    <col min="1" max="1" width="6.5546875" customWidth="1"/>
    <col min="2" max="2" width="25.5546875" bestFit="1" customWidth="1"/>
    <col min="3" max="3" width="8.44140625" customWidth="1"/>
    <col min="4" max="4" width="36.44140625" customWidth="1"/>
    <col min="5" max="5" width="8.44140625" customWidth="1"/>
    <col min="6" max="6" width="36.44140625" customWidth="1"/>
    <col min="7" max="7" width="8.44140625" customWidth="1"/>
    <col min="8" max="8" width="36.44140625" customWidth="1"/>
  </cols>
  <sheetData>
    <row r="2" spans="1:8" x14ac:dyDescent="0.3">
      <c r="A2" s="231" t="s">
        <v>149</v>
      </c>
      <c r="B2" s="231" t="s">
        <v>150</v>
      </c>
      <c r="C2" s="232" t="s">
        <v>608</v>
      </c>
      <c r="D2" s="232"/>
      <c r="E2" s="232"/>
      <c r="F2" s="232"/>
      <c r="G2" s="232"/>
      <c r="H2" s="232"/>
    </row>
    <row r="3" spans="1:8" x14ac:dyDescent="0.3">
      <c r="A3" s="231"/>
      <c r="B3" s="231"/>
      <c r="C3" s="231" t="s">
        <v>130</v>
      </c>
      <c r="D3" s="231"/>
      <c r="E3" s="231" t="s">
        <v>131</v>
      </c>
      <c r="F3" s="231"/>
      <c r="G3" s="232" t="s">
        <v>132</v>
      </c>
      <c r="H3" s="232"/>
    </row>
    <row r="4" spans="1:8" x14ac:dyDescent="0.3">
      <c r="A4" s="231"/>
      <c r="B4" s="231"/>
      <c r="C4" s="32" t="s">
        <v>487</v>
      </c>
      <c r="D4" s="32" t="s">
        <v>5</v>
      </c>
      <c r="E4" s="32" t="s">
        <v>487</v>
      </c>
      <c r="F4" s="32" t="s">
        <v>5</v>
      </c>
      <c r="G4" s="32" t="s">
        <v>487</v>
      </c>
      <c r="H4" s="32" t="s">
        <v>5</v>
      </c>
    </row>
    <row r="5" spans="1:8" ht="57.6" x14ac:dyDescent="0.3">
      <c r="A5" s="52">
        <v>1</v>
      </c>
      <c r="B5" s="52" t="str">
        <f>WLs!C4</f>
        <v>Tochten ABC1</v>
      </c>
      <c r="C5" s="23">
        <v>3</v>
      </c>
      <c r="D5" s="23" t="s">
        <v>609</v>
      </c>
      <c r="E5" s="23">
        <v>2</v>
      </c>
      <c r="F5" s="23" t="s">
        <v>610</v>
      </c>
      <c r="G5" s="23">
        <v>2</v>
      </c>
      <c r="H5" s="23" t="s">
        <v>490</v>
      </c>
    </row>
    <row r="6" spans="1:8" ht="57.6" x14ac:dyDescent="0.3">
      <c r="A6" s="52">
        <v>2</v>
      </c>
      <c r="B6" s="52" t="str">
        <f>WLs!C5</f>
        <v>Tochten ABC2</v>
      </c>
      <c r="C6" s="23">
        <v>2</v>
      </c>
      <c r="D6" s="23" t="s">
        <v>611</v>
      </c>
      <c r="E6" s="23">
        <v>1</v>
      </c>
      <c r="F6" s="23" t="s">
        <v>612</v>
      </c>
      <c r="G6" s="23">
        <v>1</v>
      </c>
      <c r="H6" s="23" t="s">
        <v>490</v>
      </c>
    </row>
    <row r="7" spans="1:8" ht="28.8" x14ac:dyDescent="0.3">
      <c r="A7" s="52">
        <v>3</v>
      </c>
      <c r="B7" s="52" t="str">
        <f>WLs!C6</f>
        <v>Tochten DE Almere</v>
      </c>
      <c r="C7" s="23"/>
      <c r="D7" s="23" t="s">
        <v>492</v>
      </c>
      <c r="E7" s="23">
        <v>1</v>
      </c>
      <c r="F7" s="23"/>
      <c r="G7" s="23">
        <v>1</v>
      </c>
      <c r="H7" s="23" t="s">
        <v>490</v>
      </c>
    </row>
    <row r="8" spans="1:8" ht="57.6" x14ac:dyDescent="0.3">
      <c r="A8" s="52">
        <v>4</v>
      </c>
      <c r="B8" s="52" t="str">
        <f>WLs!C7</f>
        <v>Tochten DE Zuidlob</v>
      </c>
      <c r="C8" s="23"/>
      <c r="D8" s="23" t="s">
        <v>492</v>
      </c>
      <c r="E8" s="23">
        <v>1</v>
      </c>
      <c r="F8" s="23" t="s">
        <v>613</v>
      </c>
      <c r="G8" s="23">
        <v>1</v>
      </c>
      <c r="H8" s="23" t="s">
        <v>490</v>
      </c>
    </row>
    <row r="9" spans="1:8" ht="28.8" x14ac:dyDescent="0.3">
      <c r="A9" s="52">
        <v>5</v>
      </c>
      <c r="B9" s="52" t="str">
        <f>WLs!C8</f>
        <v>Tochten FGIK</v>
      </c>
      <c r="C9" s="23">
        <v>1</v>
      </c>
      <c r="D9" s="23" t="s">
        <v>614</v>
      </c>
      <c r="E9" s="23">
        <v>1</v>
      </c>
      <c r="F9" s="23" t="s">
        <v>615</v>
      </c>
      <c r="G9" s="23">
        <v>1</v>
      </c>
      <c r="H9" s="23" t="s">
        <v>490</v>
      </c>
    </row>
    <row r="10" spans="1:8" ht="28.8" x14ac:dyDescent="0.3">
      <c r="A10" s="52">
        <v>6</v>
      </c>
      <c r="B10" s="52" t="str">
        <f>WLs!C9</f>
        <v>Tochten H</v>
      </c>
      <c r="C10" s="23">
        <v>1</v>
      </c>
      <c r="D10" s="23" t="s">
        <v>616</v>
      </c>
      <c r="E10" s="23">
        <v>1</v>
      </c>
      <c r="F10" s="23" t="s">
        <v>489</v>
      </c>
      <c r="G10" s="23">
        <v>1</v>
      </c>
      <c r="H10" s="23" t="s">
        <v>490</v>
      </c>
    </row>
    <row r="11" spans="1:8" ht="43.2" x14ac:dyDescent="0.3">
      <c r="A11" s="52">
        <v>7</v>
      </c>
      <c r="B11" s="52" t="str">
        <f>WLs!C10</f>
        <v>Tochten J</v>
      </c>
      <c r="C11" s="23">
        <v>1</v>
      </c>
      <c r="D11" s="23" t="s">
        <v>617</v>
      </c>
      <c r="E11" s="23">
        <v>1</v>
      </c>
      <c r="F11" s="23" t="s">
        <v>489</v>
      </c>
      <c r="G11" s="23">
        <v>1</v>
      </c>
      <c r="H11" s="23" t="s">
        <v>490</v>
      </c>
    </row>
    <row r="12" spans="1:8" ht="72" x14ac:dyDescent="0.3">
      <c r="A12" s="52">
        <v>8</v>
      </c>
      <c r="B12" s="52" t="str">
        <f>WLs!C11</f>
        <v>Tochten lage afdeling NOP</v>
      </c>
      <c r="C12" s="23">
        <v>2</v>
      </c>
      <c r="D12" s="23" t="s">
        <v>618</v>
      </c>
      <c r="E12" s="23">
        <v>2</v>
      </c>
      <c r="F12" s="23" t="s">
        <v>619</v>
      </c>
      <c r="G12" s="23">
        <v>1</v>
      </c>
      <c r="H12" s="23" t="s">
        <v>620</v>
      </c>
    </row>
    <row r="13" spans="1:8" ht="72" x14ac:dyDescent="0.3">
      <c r="A13" s="52">
        <v>9</v>
      </c>
      <c r="B13" s="52" t="str">
        <f>WLs!C12</f>
        <v>Tochten hoge afdeling NOP</v>
      </c>
      <c r="C13" s="23">
        <v>1</v>
      </c>
      <c r="D13" s="23" t="s">
        <v>621</v>
      </c>
      <c r="E13" s="23">
        <v>1</v>
      </c>
      <c r="F13" s="23" t="s">
        <v>622</v>
      </c>
      <c r="G13" s="23">
        <v>1</v>
      </c>
      <c r="H13" s="23" t="s">
        <v>623</v>
      </c>
    </row>
    <row r="14" spans="1:8" ht="72" x14ac:dyDescent="0.3">
      <c r="A14" s="52">
        <v>10</v>
      </c>
      <c r="B14" s="52" t="str">
        <f>WLs!C13</f>
        <v>Vaarten NOP</v>
      </c>
      <c r="C14" s="23">
        <v>2</v>
      </c>
      <c r="D14" s="23" t="s">
        <v>624</v>
      </c>
      <c r="E14" s="23">
        <v>2</v>
      </c>
      <c r="F14" s="23" t="s">
        <v>622</v>
      </c>
      <c r="G14" s="23">
        <v>1</v>
      </c>
      <c r="H14" s="23" t="s">
        <v>623</v>
      </c>
    </row>
    <row r="15" spans="1:8" ht="57.6" x14ac:dyDescent="0.3">
      <c r="A15" s="52">
        <v>11</v>
      </c>
      <c r="B15" s="52" t="str">
        <f>WLs!C14</f>
        <v>Vaarten hoge afdeling ZOF</v>
      </c>
      <c r="C15" s="23">
        <v>2</v>
      </c>
      <c r="D15" s="23" t="s">
        <v>625</v>
      </c>
      <c r="E15" s="23">
        <v>2</v>
      </c>
      <c r="F15" s="23" t="s">
        <v>626</v>
      </c>
      <c r="G15" s="23">
        <v>1</v>
      </c>
      <c r="H15" s="23" t="s">
        <v>627</v>
      </c>
    </row>
    <row r="16" spans="1:8" ht="86.4" x14ac:dyDescent="0.3">
      <c r="A16" s="52">
        <v>12</v>
      </c>
      <c r="B16" s="52" t="str">
        <f>WLs!C15</f>
        <v>Vaarten lage afdeling ZOF</v>
      </c>
      <c r="C16" s="23">
        <v>2</v>
      </c>
      <c r="D16" s="23" t="s">
        <v>628</v>
      </c>
      <c r="E16" s="23">
        <v>2</v>
      </c>
      <c r="F16" s="23" t="s">
        <v>626</v>
      </c>
      <c r="G16" s="23">
        <v>1</v>
      </c>
      <c r="H16" s="23" t="s">
        <v>627</v>
      </c>
    </row>
    <row r="17" spans="1:8" ht="123.75" customHeight="1" x14ac:dyDescent="0.3">
      <c r="A17" s="52">
        <v>13</v>
      </c>
      <c r="B17" s="52" t="str">
        <f>WLs!C16</f>
        <v>Bovenwater</v>
      </c>
      <c r="C17" s="23">
        <v>3</v>
      </c>
      <c r="D17" s="23" t="s">
        <v>629</v>
      </c>
      <c r="E17" s="23">
        <v>3</v>
      </c>
      <c r="F17" s="23" t="s">
        <v>630</v>
      </c>
      <c r="G17" s="23">
        <v>3</v>
      </c>
      <c r="H17" s="23" t="s">
        <v>490</v>
      </c>
    </row>
    <row r="18" spans="1:8" ht="100.8" x14ac:dyDescent="0.3">
      <c r="A18" s="52">
        <v>14</v>
      </c>
      <c r="B18" s="52" t="str">
        <f>WLs!C17</f>
        <v>Harderbroek (oude deel)</v>
      </c>
      <c r="C18" s="23">
        <v>2</v>
      </c>
      <c r="D18" s="23" t="s">
        <v>631</v>
      </c>
      <c r="E18" s="23">
        <v>2</v>
      </c>
      <c r="F18" s="23" t="s">
        <v>632</v>
      </c>
      <c r="G18" s="23">
        <v>2</v>
      </c>
      <c r="H18" s="23" t="s">
        <v>490</v>
      </c>
    </row>
    <row r="19" spans="1:8" ht="129.6" x14ac:dyDescent="0.3">
      <c r="A19" s="52">
        <v>15</v>
      </c>
      <c r="B19" s="52" t="str">
        <f>WLs!C18</f>
        <v>Harderbroek Roerdomp</v>
      </c>
      <c r="C19" s="23">
        <v>2</v>
      </c>
      <c r="D19" s="23" t="s">
        <v>633</v>
      </c>
      <c r="E19" s="23">
        <v>2</v>
      </c>
      <c r="F19" s="23" t="s">
        <v>632</v>
      </c>
      <c r="G19" s="23">
        <v>2</v>
      </c>
      <c r="H19" s="23" t="s">
        <v>514</v>
      </c>
    </row>
    <row r="20" spans="1:8" ht="57.6" x14ac:dyDescent="0.3">
      <c r="A20" s="52">
        <v>16</v>
      </c>
      <c r="B20" s="52" t="str">
        <f>WLs!C19</f>
        <v>Lepelaarplassen</v>
      </c>
      <c r="C20" s="23">
        <v>3</v>
      </c>
      <c r="D20" s="23" t="s">
        <v>634</v>
      </c>
      <c r="E20" s="23">
        <v>3</v>
      </c>
      <c r="F20" s="23" t="s">
        <v>489</v>
      </c>
      <c r="G20" s="23">
        <v>3</v>
      </c>
      <c r="H20" s="23" t="s">
        <v>516</v>
      </c>
    </row>
    <row r="21" spans="1:8" ht="57.6" x14ac:dyDescent="0.3">
      <c r="A21" s="52">
        <v>17</v>
      </c>
      <c r="B21" s="52" t="str">
        <f>WLs!C20</f>
        <v>Noorderplassen</v>
      </c>
      <c r="C21" s="23">
        <v>1</v>
      </c>
      <c r="D21" s="23" t="s">
        <v>635</v>
      </c>
      <c r="E21" s="23">
        <v>1</v>
      </c>
      <c r="F21" s="23" t="s">
        <v>489</v>
      </c>
      <c r="G21" s="23">
        <v>1</v>
      </c>
      <c r="H21" s="23" t="s">
        <v>636</v>
      </c>
    </row>
    <row r="22" spans="1:8" ht="144" x14ac:dyDescent="0.3">
      <c r="A22" s="52">
        <v>18</v>
      </c>
      <c r="B22" s="52" t="str">
        <f>WLs!C21</f>
        <v>Oostvaardersplassen</v>
      </c>
      <c r="C22" s="86">
        <v>0</v>
      </c>
      <c r="D22" s="86" t="s">
        <v>518</v>
      </c>
      <c r="E22" s="86">
        <v>0</v>
      </c>
      <c r="F22" s="86" t="s">
        <v>518</v>
      </c>
      <c r="G22" s="86">
        <v>1</v>
      </c>
      <c r="H22" s="86" t="s">
        <v>637</v>
      </c>
    </row>
    <row r="23" spans="1:8" ht="28.8" x14ac:dyDescent="0.3">
      <c r="A23" s="52">
        <v>19</v>
      </c>
      <c r="B23" s="52" t="str">
        <f>WLs!C22</f>
        <v>Vollenhover- en Kadoelermeer</v>
      </c>
      <c r="C23" s="23">
        <v>1</v>
      </c>
      <c r="D23" s="23" t="s">
        <v>638</v>
      </c>
      <c r="E23" s="23">
        <v>1</v>
      </c>
      <c r="F23" s="23" t="s">
        <v>489</v>
      </c>
      <c r="G23" s="23">
        <v>1</v>
      </c>
      <c r="H23" s="23" t="s">
        <v>565</v>
      </c>
    </row>
    <row r="24" spans="1:8" ht="28.8" x14ac:dyDescent="0.3">
      <c r="A24" s="52">
        <v>20</v>
      </c>
      <c r="B24" s="52" t="str">
        <f>WLs!C23</f>
        <v>Weerwater</v>
      </c>
      <c r="C24" s="23">
        <v>1</v>
      </c>
      <c r="D24" s="23" t="s">
        <v>639</v>
      </c>
      <c r="E24" s="23">
        <v>1</v>
      </c>
      <c r="F24" s="23" t="s">
        <v>489</v>
      </c>
      <c r="G24" s="23">
        <v>1</v>
      </c>
      <c r="H24" s="23" t="s">
        <v>565</v>
      </c>
    </row>
  </sheetData>
  <mergeCells count="6">
    <mergeCell ref="A2:A4"/>
    <mergeCell ref="B2:B4"/>
    <mergeCell ref="C2:H2"/>
    <mergeCell ref="C3:D3"/>
    <mergeCell ref="E3:F3"/>
    <mergeCell ref="G3:H3"/>
  </mergeCells>
  <conditionalFormatting sqref="C5:C24 E5:E24 G5:G24">
    <cfRule type="cellIs" dxfId="19" priority="9" operator="equal">
      <formula>0</formula>
    </cfRule>
    <cfRule type="cellIs" dxfId="18" priority="10" operator="equal">
      <formula>3</formula>
    </cfRule>
    <cfRule type="cellIs" dxfId="17" priority="11" operator="equal">
      <formula>2</formula>
    </cfRule>
    <cfRule type="cellIs" dxfId="16" priority="12"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2CD27-15B4-4C3B-87AC-97747179A4D8}">
  <dimension ref="A2:H24"/>
  <sheetViews>
    <sheetView workbookViewId="0">
      <pane ySplit="4" topLeftCell="A5" activePane="bottomLeft" state="frozen"/>
      <selection pane="bottomLeft" activeCell="A5" sqref="A5"/>
    </sheetView>
  </sheetViews>
  <sheetFormatPr defaultRowHeight="14.4" x14ac:dyDescent="0.3"/>
  <cols>
    <col min="1" max="1" width="6.5546875" customWidth="1"/>
    <col min="2" max="2" width="25.5546875" bestFit="1" customWidth="1"/>
    <col min="3" max="3" width="8.44140625" customWidth="1"/>
    <col min="4" max="4" width="36.44140625" customWidth="1"/>
    <col min="5" max="5" width="8.44140625" customWidth="1"/>
    <col min="6" max="6" width="36.44140625" customWidth="1"/>
    <col min="7" max="7" width="8.44140625" customWidth="1"/>
    <col min="8" max="8" width="36.44140625" customWidth="1"/>
  </cols>
  <sheetData>
    <row r="2" spans="1:8" x14ac:dyDescent="0.3">
      <c r="A2" s="231" t="s">
        <v>149</v>
      </c>
      <c r="B2" s="231" t="s">
        <v>150</v>
      </c>
      <c r="C2" s="232" t="s">
        <v>640</v>
      </c>
      <c r="D2" s="232"/>
      <c r="E2" s="232"/>
      <c r="F2" s="232"/>
      <c r="G2" s="232"/>
      <c r="H2" s="232"/>
    </row>
    <row r="3" spans="1:8" x14ac:dyDescent="0.3">
      <c r="A3" s="231"/>
      <c r="B3" s="231"/>
      <c r="C3" s="231" t="s">
        <v>130</v>
      </c>
      <c r="D3" s="231"/>
      <c r="E3" s="231" t="s">
        <v>131</v>
      </c>
      <c r="F3" s="231"/>
      <c r="G3" s="232" t="s">
        <v>132</v>
      </c>
      <c r="H3" s="232"/>
    </row>
    <row r="4" spans="1:8" x14ac:dyDescent="0.3">
      <c r="A4" s="231"/>
      <c r="B4" s="231"/>
      <c r="C4" s="32" t="s">
        <v>487</v>
      </c>
      <c r="D4" s="32" t="s">
        <v>5</v>
      </c>
      <c r="E4" s="32" t="s">
        <v>487</v>
      </c>
      <c r="F4" s="32" t="s">
        <v>5</v>
      </c>
      <c r="G4" s="32" t="s">
        <v>487</v>
      </c>
      <c r="H4" s="32" t="s">
        <v>5</v>
      </c>
    </row>
    <row r="5" spans="1:8" ht="115.2" x14ac:dyDescent="0.3">
      <c r="A5" s="52">
        <v>1</v>
      </c>
      <c r="B5" s="52" t="str">
        <f>WLs!C4</f>
        <v>Tochten ABC1</v>
      </c>
      <c r="C5" s="23">
        <v>1</v>
      </c>
      <c r="D5" s="23" t="s">
        <v>641</v>
      </c>
      <c r="E5" s="23">
        <v>1</v>
      </c>
      <c r="F5" s="23" t="s">
        <v>642</v>
      </c>
      <c r="G5" s="23">
        <v>1</v>
      </c>
      <c r="H5" s="23" t="s">
        <v>490</v>
      </c>
    </row>
    <row r="6" spans="1:8" ht="115.2" x14ac:dyDescent="0.3">
      <c r="A6" s="52">
        <v>2</v>
      </c>
      <c r="B6" s="52" t="str">
        <f>WLs!C5</f>
        <v>Tochten ABC2</v>
      </c>
      <c r="C6" s="23">
        <v>1</v>
      </c>
      <c r="D6" s="23" t="s">
        <v>641</v>
      </c>
      <c r="E6" s="23">
        <v>1</v>
      </c>
      <c r="F6" s="23" t="s">
        <v>643</v>
      </c>
      <c r="G6" s="23">
        <v>1</v>
      </c>
      <c r="H6" s="23" t="s">
        <v>490</v>
      </c>
    </row>
    <row r="7" spans="1:8" ht="28.8" x14ac:dyDescent="0.3">
      <c r="A7" s="52">
        <v>3</v>
      </c>
      <c r="B7" s="52" t="str">
        <f>WLs!C6</f>
        <v>Tochten DE Almere</v>
      </c>
      <c r="C7" s="23"/>
      <c r="D7" s="23" t="s">
        <v>492</v>
      </c>
      <c r="E7" s="23">
        <v>1</v>
      </c>
      <c r="F7" s="23" t="s">
        <v>644</v>
      </c>
      <c r="G7" s="23">
        <v>1</v>
      </c>
      <c r="H7" s="23" t="s">
        <v>490</v>
      </c>
    </row>
    <row r="8" spans="1:8" ht="72" x14ac:dyDescent="0.3">
      <c r="A8" s="52">
        <v>4</v>
      </c>
      <c r="B8" s="52" t="str">
        <f>WLs!C7</f>
        <v>Tochten DE Zuidlob</v>
      </c>
      <c r="C8" s="23"/>
      <c r="D8" s="23" t="s">
        <v>492</v>
      </c>
      <c r="E8" s="23">
        <v>1</v>
      </c>
      <c r="F8" s="23" t="s">
        <v>645</v>
      </c>
      <c r="G8" s="23">
        <v>1</v>
      </c>
      <c r="H8" s="23" t="s">
        <v>490</v>
      </c>
    </row>
    <row r="9" spans="1:8" ht="72" x14ac:dyDescent="0.3">
      <c r="A9" s="52">
        <v>5</v>
      </c>
      <c r="B9" s="52" t="str">
        <f>WLs!C8</f>
        <v>Tochten FGIK</v>
      </c>
      <c r="C9" s="23">
        <v>1</v>
      </c>
      <c r="D9" s="23" t="s">
        <v>646</v>
      </c>
      <c r="E9" s="23">
        <v>1</v>
      </c>
      <c r="F9" s="23" t="s">
        <v>647</v>
      </c>
      <c r="G9" s="23">
        <v>1</v>
      </c>
      <c r="H9" s="23" t="s">
        <v>490</v>
      </c>
    </row>
    <row r="10" spans="1:8" ht="86.4" x14ac:dyDescent="0.3">
      <c r="A10" s="52">
        <v>6</v>
      </c>
      <c r="B10" s="52" t="str">
        <f>WLs!C9</f>
        <v>Tochten H</v>
      </c>
      <c r="C10" s="23">
        <v>2</v>
      </c>
      <c r="D10" s="23" t="s">
        <v>648</v>
      </c>
      <c r="E10" s="23">
        <v>1</v>
      </c>
      <c r="F10" s="23" t="s">
        <v>649</v>
      </c>
      <c r="G10" s="23">
        <v>1</v>
      </c>
      <c r="H10" s="23" t="s">
        <v>490</v>
      </c>
    </row>
    <row r="11" spans="1:8" ht="57.6" x14ac:dyDescent="0.3">
      <c r="A11" s="52">
        <v>7</v>
      </c>
      <c r="B11" s="52" t="str">
        <f>WLs!C10</f>
        <v>Tochten J</v>
      </c>
      <c r="C11" s="23">
        <v>1</v>
      </c>
      <c r="D11" s="23" t="s">
        <v>650</v>
      </c>
      <c r="E11" s="23">
        <v>1</v>
      </c>
      <c r="F11" s="23" t="s">
        <v>651</v>
      </c>
      <c r="G11" s="23">
        <v>1</v>
      </c>
      <c r="H11" s="23" t="s">
        <v>490</v>
      </c>
    </row>
    <row r="12" spans="1:8" ht="86.4" x14ac:dyDescent="0.3">
      <c r="A12" s="52">
        <v>8</v>
      </c>
      <c r="B12" s="52" t="str">
        <f>WLs!C11</f>
        <v>Tochten lage afdeling NOP</v>
      </c>
      <c r="C12" s="23">
        <v>2</v>
      </c>
      <c r="D12" s="23" t="s">
        <v>652</v>
      </c>
      <c r="E12" s="23">
        <v>1</v>
      </c>
      <c r="F12" s="23" t="s">
        <v>653</v>
      </c>
      <c r="G12" s="23">
        <v>1</v>
      </c>
      <c r="H12" s="23" t="s">
        <v>490</v>
      </c>
    </row>
    <row r="13" spans="1:8" ht="86.4" x14ac:dyDescent="0.3">
      <c r="A13" s="52">
        <v>9</v>
      </c>
      <c r="B13" s="52" t="str">
        <f>WLs!C12</f>
        <v>Tochten hoge afdeling NOP</v>
      </c>
      <c r="C13" s="23">
        <v>2</v>
      </c>
      <c r="D13" s="23" t="s">
        <v>654</v>
      </c>
      <c r="E13" s="23">
        <v>1</v>
      </c>
      <c r="F13" s="23" t="s">
        <v>655</v>
      </c>
      <c r="G13" s="23">
        <v>1</v>
      </c>
      <c r="H13" s="23" t="s">
        <v>490</v>
      </c>
    </row>
    <row r="14" spans="1:8" ht="100.8" x14ac:dyDescent="0.3">
      <c r="A14" s="52">
        <v>10</v>
      </c>
      <c r="B14" s="52" t="str">
        <f>WLs!C13</f>
        <v>Vaarten NOP</v>
      </c>
      <c r="C14" s="23">
        <v>2</v>
      </c>
      <c r="D14" s="23" t="s">
        <v>656</v>
      </c>
      <c r="E14" s="23">
        <v>1</v>
      </c>
      <c r="F14" s="23" t="s">
        <v>657</v>
      </c>
      <c r="G14" s="23">
        <v>1</v>
      </c>
      <c r="H14" s="23" t="s">
        <v>490</v>
      </c>
    </row>
    <row r="15" spans="1:8" ht="100.8" x14ac:dyDescent="0.3">
      <c r="A15" s="52">
        <v>11</v>
      </c>
      <c r="B15" s="52" t="str">
        <f>WLs!C14</f>
        <v>Vaarten hoge afdeling ZOF</v>
      </c>
      <c r="C15" s="23">
        <v>2</v>
      </c>
      <c r="D15" s="23" t="s">
        <v>656</v>
      </c>
      <c r="E15" s="23">
        <v>1</v>
      </c>
      <c r="F15" s="23" t="s">
        <v>657</v>
      </c>
      <c r="G15" s="23">
        <v>1</v>
      </c>
      <c r="H15" s="23" t="s">
        <v>490</v>
      </c>
    </row>
    <row r="16" spans="1:8" ht="100.8" x14ac:dyDescent="0.3">
      <c r="A16" s="52">
        <v>12</v>
      </c>
      <c r="B16" s="52" t="str">
        <f>WLs!C15</f>
        <v>Vaarten lage afdeling ZOF</v>
      </c>
      <c r="C16" s="23">
        <v>2</v>
      </c>
      <c r="D16" s="23" t="s">
        <v>656</v>
      </c>
      <c r="E16" s="23">
        <v>1</v>
      </c>
      <c r="F16" s="109" t="s">
        <v>658</v>
      </c>
      <c r="G16" s="23">
        <v>1</v>
      </c>
      <c r="H16" s="23" t="s">
        <v>490</v>
      </c>
    </row>
    <row r="17" spans="1:8" ht="216" x14ac:dyDescent="0.3">
      <c r="A17" s="52">
        <v>13</v>
      </c>
      <c r="B17" s="52" t="str">
        <f>WLs!C16</f>
        <v>Bovenwater</v>
      </c>
      <c r="C17" s="23">
        <v>1</v>
      </c>
      <c r="D17" s="23" t="s">
        <v>659</v>
      </c>
      <c r="E17" s="23">
        <v>1</v>
      </c>
      <c r="F17" s="23" t="s">
        <v>660</v>
      </c>
      <c r="G17" s="23">
        <v>1</v>
      </c>
      <c r="H17" s="23" t="s">
        <v>490</v>
      </c>
    </row>
    <row r="18" spans="1:8" ht="57.6" x14ac:dyDescent="0.3">
      <c r="A18" s="52">
        <v>14</v>
      </c>
      <c r="B18" s="52" t="str">
        <f>WLs!C17</f>
        <v>Harderbroek (oude deel)</v>
      </c>
      <c r="C18" s="23">
        <v>3</v>
      </c>
      <c r="D18" s="23" t="s">
        <v>661</v>
      </c>
      <c r="E18" s="23">
        <v>0</v>
      </c>
      <c r="F18" s="23" t="s">
        <v>511</v>
      </c>
      <c r="G18" s="23">
        <v>2</v>
      </c>
      <c r="H18" s="23" t="s">
        <v>662</v>
      </c>
    </row>
    <row r="19" spans="1:8" ht="28.8" x14ac:dyDescent="0.3">
      <c r="A19" s="52">
        <v>15</v>
      </c>
      <c r="B19" s="52" t="str">
        <f>WLs!C18</f>
        <v>Harderbroek Roerdomp</v>
      </c>
      <c r="C19" s="23">
        <v>3</v>
      </c>
      <c r="D19" s="23" t="s">
        <v>663</v>
      </c>
      <c r="E19" s="23">
        <v>3</v>
      </c>
      <c r="F19" s="23" t="s">
        <v>489</v>
      </c>
      <c r="G19" s="23">
        <v>3</v>
      </c>
      <c r="H19" s="23" t="s">
        <v>514</v>
      </c>
    </row>
    <row r="20" spans="1:8" ht="28.8" x14ac:dyDescent="0.3">
      <c r="A20" s="52">
        <v>16</v>
      </c>
      <c r="B20" s="52" t="str">
        <f>WLs!C19</f>
        <v>Lepelaarplassen</v>
      </c>
      <c r="C20" s="23">
        <v>1</v>
      </c>
      <c r="D20" s="23" t="s">
        <v>664</v>
      </c>
      <c r="E20" s="23">
        <v>1</v>
      </c>
      <c r="F20" s="23" t="s">
        <v>489</v>
      </c>
      <c r="G20" s="23">
        <v>1</v>
      </c>
      <c r="H20" s="23" t="s">
        <v>490</v>
      </c>
    </row>
    <row r="21" spans="1:8" ht="28.8" x14ac:dyDescent="0.3">
      <c r="A21" s="52">
        <v>17</v>
      </c>
      <c r="B21" s="52" t="str">
        <f>WLs!C20</f>
        <v>Noorderplassen</v>
      </c>
      <c r="C21" s="23">
        <v>1</v>
      </c>
      <c r="D21" s="23" t="s">
        <v>665</v>
      </c>
      <c r="E21" s="23">
        <v>1</v>
      </c>
      <c r="F21" s="23" t="s">
        <v>489</v>
      </c>
      <c r="G21" s="23">
        <v>1</v>
      </c>
      <c r="H21" s="23" t="s">
        <v>490</v>
      </c>
    </row>
    <row r="22" spans="1:8" ht="100.8" x14ac:dyDescent="0.3">
      <c r="A22" s="52">
        <v>18</v>
      </c>
      <c r="B22" s="52" t="str">
        <f>WLs!C21</f>
        <v>Oostvaardersplassen</v>
      </c>
      <c r="C22" s="23">
        <v>0</v>
      </c>
      <c r="D22" s="23" t="s">
        <v>518</v>
      </c>
      <c r="E22" s="23">
        <v>0</v>
      </c>
      <c r="F22" s="23" t="s">
        <v>518</v>
      </c>
      <c r="G22" s="23">
        <v>0</v>
      </c>
      <c r="H22" s="23" t="s">
        <v>666</v>
      </c>
    </row>
    <row r="23" spans="1:8" ht="57.6" x14ac:dyDescent="0.3">
      <c r="A23" s="52">
        <v>19</v>
      </c>
      <c r="B23" s="52" t="str">
        <f>WLs!C22</f>
        <v>Vollenhover- en Kadoelermeer</v>
      </c>
      <c r="C23" s="30">
        <v>1</v>
      </c>
      <c r="D23" s="23" t="s">
        <v>667</v>
      </c>
      <c r="E23" s="23">
        <v>1</v>
      </c>
      <c r="F23" s="23" t="s">
        <v>489</v>
      </c>
      <c r="G23" s="23">
        <v>1</v>
      </c>
      <c r="H23" s="23" t="s">
        <v>490</v>
      </c>
    </row>
    <row r="24" spans="1:8" ht="57.6" x14ac:dyDescent="0.3">
      <c r="A24" s="52">
        <v>20</v>
      </c>
      <c r="B24" s="52" t="str">
        <f>WLs!C23</f>
        <v>Weerwater</v>
      </c>
      <c r="C24" s="23">
        <v>1</v>
      </c>
      <c r="D24" s="23" t="s">
        <v>668</v>
      </c>
      <c r="E24" s="23">
        <v>1</v>
      </c>
      <c r="F24" s="23" t="s">
        <v>489</v>
      </c>
      <c r="G24" s="23">
        <v>1</v>
      </c>
      <c r="H24" s="23" t="s">
        <v>490</v>
      </c>
    </row>
  </sheetData>
  <mergeCells count="6">
    <mergeCell ref="A2:A4"/>
    <mergeCell ref="B2:B4"/>
    <mergeCell ref="C2:H2"/>
    <mergeCell ref="C3:D3"/>
    <mergeCell ref="E3:F3"/>
    <mergeCell ref="G3:H3"/>
  </mergeCells>
  <conditionalFormatting sqref="C5:C24 E5:E24 G5:G24">
    <cfRule type="cellIs" dxfId="15" priority="9" operator="equal">
      <formula>0</formula>
    </cfRule>
    <cfRule type="cellIs" dxfId="14" priority="10" operator="equal">
      <formula>3</formula>
    </cfRule>
    <cfRule type="cellIs" dxfId="13" priority="11" operator="equal">
      <formula>2</formula>
    </cfRule>
    <cfRule type="cellIs" dxfId="12" priority="12" operator="equal">
      <formula>1</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D3285-ABB0-40B1-A967-9755F1DC3556}">
  <dimension ref="A2:H24"/>
  <sheetViews>
    <sheetView workbookViewId="0">
      <pane ySplit="4" topLeftCell="A5" activePane="bottomLeft" state="frozen"/>
      <selection pane="bottomLeft" activeCell="A5" sqref="A5"/>
    </sheetView>
  </sheetViews>
  <sheetFormatPr defaultRowHeight="14.4" x14ac:dyDescent="0.3"/>
  <cols>
    <col min="1" max="1" width="6.5546875" customWidth="1"/>
    <col min="2" max="2" width="25.5546875" bestFit="1" customWidth="1"/>
    <col min="3" max="3" width="8.44140625" customWidth="1"/>
    <col min="4" max="4" width="36.44140625" customWidth="1"/>
    <col min="5" max="5" width="8.44140625" customWidth="1"/>
    <col min="6" max="6" width="36.44140625" customWidth="1"/>
    <col min="7" max="7" width="8.44140625" customWidth="1"/>
    <col min="8" max="8" width="36.44140625" customWidth="1"/>
  </cols>
  <sheetData>
    <row r="2" spans="1:8" x14ac:dyDescent="0.3">
      <c r="A2" s="231" t="s">
        <v>149</v>
      </c>
      <c r="B2" s="231" t="s">
        <v>150</v>
      </c>
      <c r="C2" s="232" t="s">
        <v>669</v>
      </c>
      <c r="D2" s="232"/>
      <c r="E2" s="232"/>
      <c r="F2" s="232"/>
      <c r="G2" s="232"/>
      <c r="H2" s="232"/>
    </row>
    <row r="3" spans="1:8" x14ac:dyDescent="0.3">
      <c r="A3" s="231"/>
      <c r="B3" s="231"/>
      <c r="C3" s="231" t="s">
        <v>130</v>
      </c>
      <c r="D3" s="231"/>
      <c r="E3" s="231" t="s">
        <v>131</v>
      </c>
      <c r="F3" s="231"/>
      <c r="G3" s="232" t="s">
        <v>132</v>
      </c>
      <c r="H3" s="232"/>
    </row>
    <row r="4" spans="1:8" x14ac:dyDescent="0.3">
      <c r="A4" s="231"/>
      <c r="B4" s="231"/>
      <c r="C4" s="32" t="s">
        <v>487</v>
      </c>
      <c r="D4" s="32" t="s">
        <v>5</v>
      </c>
      <c r="E4" s="32" t="s">
        <v>487</v>
      </c>
      <c r="F4" s="32" t="s">
        <v>5</v>
      </c>
      <c r="G4" s="32" t="s">
        <v>487</v>
      </c>
      <c r="H4" s="32" t="s">
        <v>5</v>
      </c>
    </row>
    <row r="5" spans="1:8" ht="72" x14ac:dyDescent="0.3">
      <c r="A5" s="52">
        <v>1</v>
      </c>
      <c r="B5" s="52" t="str">
        <f>WLs!C4</f>
        <v>Tochten ABC1</v>
      </c>
      <c r="C5" s="23">
        <v>1</v>
      </c>
      <c r="D5" s="23" t="s">
        <v>670</v>
      </c>
      <c r="E5" s="23">
        <v>2</v>
      </c>
      <c r="F5" s="23" t="s">
        <v>671</v>
      </c>
      <c r="G5" s="23">
        <v>2</v>
      </c>
      <c r="H5" s="23" t="s">
        <v>490</v>
      </c>
    </row>
    <row r="6" spans="1:8" ht="72" x14ac:dyDescent="0.3">
      <c r="A6" s="52">
        <v>2</v>
      </c>
      <c r="B6" s="52" t="str">
        <f>WLs!C5</f>
        <v>Tochten ABC2</v>
      </c>
      <c r="C6" s="23">
        <v>1</v>
      </c>
      <c r="D6" s="23" t="s">
        <v>670</v>
      </c>
      <c r="E6" s="23">
        <v>2</v>
      </c>
      <c r="F6" s="23" t="s">
        <v>672</v>
      </c>
      <c r="G6" s="23">
        <v>2</v>
      </c>
      <c r="H6" s="23" t="s">
        <v>490</v>
      </c>
    </row>
    <row r="7" spans="1:8" ht="57.6" x14ac:dyDescent="0.3">
      <c r="A7" s="52">
        <v>3</v>
      </c>
      <c r="B7" s="52" t="str">
        <f>WLs!C6</f>
        <v>Tochten DE Almere</v>
      </c>
      <c r="C7" s="23"/>
      <c r="D7" s="23" t="s">
        <v>492</v>
      </c>
      <c r="E7" s="23">
        <v>2</v>
      </c>
      <c r="F7" s="23" t="s">
        <v>673</v>
      </c>
      <c r="G7" s="23">
        <v>2</v>
      </c>
      <c r="H7" s="23" t="s">
        <v>490</v>
      </c>
    </row>
    <row r="8" spans="1:8" ht="86.4" x14ac:dyDescent="0.3">
      <c r="A8" s="52">
        <v>4</v>
      </c>
      <c r="B8" s="52" t="str">
        <f>WLs!C7</f>
        <v>Tochten DE Zuidlob</v>
      </c>
      <c r="C8" s="23"/>
      <c r="D8" s="23" t="s">
        <v>492</v>
      </c>
      <c r="E8" s="23">
        <v>2</v>
      </c>
      <c r="F8" s="23" t="s">
        <v>674</v>
      </c>
      <c r="G8" s="23">
        <v>2</v>
      </c>
      <c r="H8" s="23" t="s">
        <v>490</v>
      </c>
    </row>
    <row r="9" spans="1:8" ht="86.4" x14ac:dyDescent="0.3">
      <c r="A9" s="52">
        <v>5</v>
      </c>
      <c r="B9" s="52" t="str">
        <f>WLs!C8</f>
        <v>Tochten FGIK</v>
      </c>
      <c r="C9" s="23">
        <v>1</v>
      </c>
      <c r="D9" s="23" t="s">
        <v>670</v>
      </c>
      <c r="E9" s="23">
        <v>2</v>
      </c>
      <c r="F9" s="23" t="s">
        <v>675</v>
      </c>
      <c r="G9" s="23">
        <v>2</v>
      </c>
      <c r="H9" s="23" t="s">
        <v>490</v>
      </c>
    </row>
    <row r="10" spans="1:8" ht="86.4" x14ac:dyDescent="0.3">
      <c r="A10" s="52">
        <v>6</v>
      </c>
      <c r="B10" s="52" t="str">
        <f>WLs!C9</f>
        <v>Tochten H</v>
      </c>
      <c r="C10" s="23">
        <v>1</v>
      </c>
      <c r="D10" s="23" t="s">
        <v>676</v>
      </c>
      <c r="E10" s="23">
        <v>2</v>
      </c>
      <c r="F10" s="23" t="s">
        <v>677</v>
      </c>
      <c r="G10" s="23">
        <v>2</v>
      </c>
      <c r="H10" s="23" t="s">
        <v>490</v>
      </c>
    </row>
    <row r="11" spans="1:8" ht="115.2" x14ac:dyDescent="0.3">
      <c r="A11" s="52">
        <v>7</v>
      </c>
      <c r="B11" s="52" t="str">
        <f>WLs!C10</f>
        <v>Tochten J</v>
      </c>
      <c r="C11" s="23">
        <v>1</v>
      </c>
      <c r="D11" s="23" t="s">
        <v>670</v>
      </c>
      <c r="E11" s="23">
        <v>3</v>
      </c>
      <c r="F11" s="23" t="s">
        <v>678</v>
      </c>
      <c r="G11" s="23">
        <v>3</v>
      </c>
      <c r="H11" s="23" t="s">
        <v>490</v>
      </c>
    </row>
    <row r="12" spans="1:8" ht="86.4" x14ac:dyDescent="0.3">
      <c r="A12" s="52">
        <v>8</v>
      </c>
      <c r="B12" s="52" t="str">
        <f>WLs!C11</f>
        <v>Tochten lage afdeling NOP</v>
      </c>
      <c r="C12" s="23">
        <v>1</v>
      </c>
      <c r="D12" s="23" t="s">
        <v>670</v>
      </c>
      <c r="E12" s="23">
        <v>3</v>
      </c>
      <c r="F12" s="23" t="s">
        <v>679</v>
      </c>
      <c r="G12" s="23">
        <v>3</v>
      </c>
      <c r="H12" s="23" t="s">
        <v>490</v>
      </c>
    </row>
    <row r="13" spans="1:8" ht="86.4" x14ac:dyDescent="0.3">
      <c r="A13" s="52">
        <v>9</v>
      </c>
      <c r="B13" s="52" t="str">
        <f>WLs!C12</f>
        <v>Tochten hoge afdeling NOP</v>
      </c>
      <c r="C13" s="23">
        <v>1</v>
      </c>
      <c r="D13" s="23" t="s">
        <v>670</v>
      </c>
      <c r="E13" s="23">
        <v>2</v>
      </c>
      <c r="F13" s="23" t="s">
        <v>680</v>
      </c>
      <c r="G13" s="23">
        <v>2</v>
      </c>
      <c r="H13" s="23" t="s">
        <v>490</v>
      </c>
    </row>
    <row r="14" spans="1:8" ht="129.6" x14ac:dyDescent="0.3">
      <c r="A14" s="52">
        <v>10</v>
      </c>
      <c r="B14" s="52" t="str">
        <f>WLs!C13</f>
        <v>Vaarten NOP</v>
      </c>
      <c r="C14" s="23">
        <v>1</v>
      </c>
      <c r="D14" s="23" t="s">
        <v>681</v>
      </c>
      <c r="E14" s="23">
        <v>2</v>
      </c>
      <c r="F14" s="23" t="s">
        <v>682</v>
      </c>
      <c r="G14" s="23">
        <v>2</v>
      </c>
      <c r="H14" s="23" t="s">
        <v>490</v>
      </c>
    </row>
    <row r="15" spans="1:8" ht="72" x14ac:dyDescent="0.3">
      <c r="A15" s="52">
        <v>11</v>
      </c>
      <c r="B15" s="52" t="str">
        <f>WLs!C14</f>
        <v>Vaarten hoge afdeling ZOF</v>
      </c>
      <c r="C15" s="23">
        <v>1</v>
      </c>
      <c r="D15" s="23" t="s">
        <v>683</v>
      </c>
      <c r="E15" s="23">
        <v>2</v>
      </c>
      <c r="F15" s="23" t="s">
        <v>684</v>
      </c>
      <c r="G15" s="23">
        <v>2</v>
      </c>
      <c r="H15" s="23" t="s">
        <v>490</v>
      </c>
    </row>
    <row r="16" spans="1:8" ht="72" x14ac:dyDescent="0.3">
      <c r="A16" s="52">
        <v>12</v>
      </c>
      <c r="B16" s="52" t="str">
        <f>WLs!C15</f>
        <v>Vaarten lage afdeling ZOF</v>
      </c>
      <c r="C16" s="23">
        <v>1</v>
      </c>
      <c r="D16" s="23" t="s">
        <v>685</v>
      </c>
      <c r="E16" s="23">
        <v>2</v>
      </c>
      <c r="F16" s="23" t="s">
        <v>686</v>
      </c>
      <c r="G16" s="23">
        <v>2</v>
      </c>
      <c r="H16" s="23" t="s">
        <v>490</v>
      </c>
    </row>
    <row r="17" spans="1:8" ht="72" x14ac:dyDescent="0.3">
      <c r="A17" s="52">
        <v>13</v>
      </c>
      <c r="B17" s="52" t="str">
        <f>WLs!C16</f>
        <v>Bovenwater</v>
      </c>
      <c r="C17" s="23">
        <v>1</v>
      </c>
      <c r="D17" s="23" t="s">
        <v>687</v>
      </c>
      <c r="E17" s="23">
        <v>2</v>
      </c>
      <c r="F17" s="23" t="s">
        <v>688</v>
      </c>
      <c r="G17" s="23">
        <v>2</v>
      </c>
      <c r="H17" s="23" t="s">
        <v>490</v>
      </c>
    </row>
    <row r="18" spans="1:8" ht="129.6" x14ac:dyDescent="0.3">
      <c r="A18" s="52">
        <v>14</v>
      </c>
      <c r="B18" s="52" t="str">
        <f>WLs!C17</f>
        <v>Harderbroek (oude deel)</v>
      </c>
      <c r="C18" s="23">
        <v>1</v>
      </c>
      <c r="D18" s="23" t="s">
        <v>689</v>
      </c>
      <c r="E18" s="23">
        <v>0</v>
      </c>
      <c r="F18" s="23" t="s">
        <v>690</v>
      </c>
      <c r="G18" s="23">
        <v>2</v>
      </c>
      <c r="H18" s="23" t="s">
        <v>490</v>
      </c>
    </row>
    <row r="19" spans="1:8" ht="72" x14ac:dyDescent="0.3">
      <c r="A19" s="52">
        <v>15</v>
      </c>
      <c r="B19" s="52" t="str">
        <f>WLs!C18</f>
        <v>Harderbroek Roerdomp</v>
      </c>
      <c r="C19" s="23">
        <v>1</v>
      </c>
      <c r="D19" s="23" t="s">
        <v>689</v>
      </c>
      <c r="E19" s="23">
        <v>3</v>
      </c>
      <c r="F19" s="23" t="s">
        <v>691</v>
      </c>
      <c r="G19" s="23">
        <v>3</v>
      </c>
      <c r="H19" s="23" t="s">
        <v>490</v>
      </c>
    </row>
    <row r="20" spans="1:8" ht="72" x14ac:dyDescent="0.3">
      <c r="A20" s="52">
        <v>16</v>
      </c>
      <c r="B20" s="52" t="str">
        <f>WLs!C19</f>
        <v>Lepelaarplassen</v>
      </c>
      <c r="C20" s="23">
        <v>1</v>
      </c>
      <c r="D20" s="23" t="s">
        <v>692</v>
      </c>
      <c r="E20" s="23">
        <v>2</v>
      </c>
      <c r="F20" s="23" t="s">
        <v>693</v>
      </c>
      <c r="G20" s="23">
        <v>2</v>
      </c>
      <c r="H20" s="23" t="s">
        <v>490</v>
      </c>
    </row>
    <row r="21" spans="1:8" ht="72" x14ac:dyDescent="0.3">
      <c r="A21" s="52">
        <v>17</v>
      </c>
      <c r="B21" s="52" t="str">
        <f>WLs!C20</f>
        <v>Noorderplassen</v>
      </c>
      <c r="C21" s="23">
        <v>1</v>
      </c>
      <c r="D21" s="23" t="s">
        <v>694</v>
      </c>
      <c r="E21" s="23">
        <v>2</v>
      </c>
      <c r="F21" s="23" t="s">
        <v>695</v>
      </c>
      <c r="G21" s="23">
        <v>2</v>
      </c>
      <c r="H21" s="23" t="s">
        <v>490</v>
      </c>
    </row>
    <row r="22" spans="1:8" ht="144" x14ac:dyDescent="0.3">
      <c r="A22" s="52">
        <v>18</v>
      </c>
      <c r="B22" s="52" t="str">
        <f>WLs!C21</f>
        <v>Oostvaardersplassen</v>
      </c>
      <c r="C22" s="23">
        <v>0</v>
      </c>
      <c r="D22" s="23" t="s">
        <v>518</v>
      </c>
      <c r="E22" s="23">
        <v>2</v>
      </c>
      <c r="F22" s="23" t="s">
        <v>696</v>
      </c>
      <c r="G22" s="23">
        <v>2</v>
      </c>
      <c r="H22" s="23" t="s">
        <v>697</v>
      </c>
    </row>
    <row r="23" spans="1:8" ht="129.6" x14ac:dyDescent="0.3">
      <c r="A23" s="52">
        <v>19</v>
      </c>
      <c r="B23" s="139" t="str">
        <f>WLs!C22</f>
        <v>Vollenhover- en Kadoelermeer</v>
      </c>
      <c r="C23" s="23">
        <v>2</v>
      </c>
      <c r="D23" s="23" t="s">
        <v>698</v>
      </c>
      <c r="E23" s="23">
        <v>2</v>
      </c>
      <c r="F23" s="23" t="s">
        <v>699</v>
      </c>
      <c r="G23" s="23">
        <v>2</v>
      </c>
      <c r="H23" s="23" t="s">
        <v>490</v>
      </c>
    </row>
    <row r="24" spans="1:8" ht="72" x14ac:dyDescent="0.3">
      <c r="A24" s="52">
        <v>20</v>
      </c>
      <c r="B24" s="139" t="str">
        <f>WLs!C23</f>
        <v>Weerwater</v>
      </c>
      <c r="C24" s="23">
        <v>1</v>
      </c>
      <c r="D24" s="23" t="s">
        <v>700</v>
      </c>
      <c r="E24" s="23">
        <v>2</v>
      </c>
      <c r="F24" s="23" t="s">
        <v>695</v>
      </c>
      <c r="G24" s="23">
        <v>2</v>
      </c>
      <c r="H24" s="23" t="s">
        <v>490</v>
      </c>
    </row>
  </sheetData>
  <mergeCells count="6">
    <mergeCell ref="A2:A4"/>
    <mergeCell ref="B2:B4"/>
    <mergeCell ref="C2:H2"/>
    <mergeCell ref="C3:D3"/>
    <mergeCell ref="E3:F3"/>
    <mergeCell ref="G3:H3"/>
  </mergeCells>
  <conditionalFormatting sqref="C5:C24 E5:E24">
    <cfRule type="cellIs" dxfId="11" priority="5" operator="equal">
      <formula>0</formula>
    </cfRule>
    <cfRule type="cellIs" dxfId="10" priority="6" operator="equal">
      <formula>3</formula>
    </cfRule>
    <cfRule type="cellIs" dxfId="9" priority="7" operator="equal">
      <formula>2</formula>
    </cfRule>
    <cfRule type="cellIs" dxfId="8" priority="8" operator="equal">
      <formula>1</formula>
    </cfRule>
  </conditionalFormatting>
  <conditionalFormatting sqref="G14:G24">
    <cfRule type="cellIs" dxfId="7" priority="9" operator="equal">
      <formula>0</formula>
    </cfRule>
    <cfRule type="cellIs" dxfId="6" priority="10" operator="equal">
      <formula>3</formula>
    </cfRule>
    <cfRule type="cellIs" dxfId="5" priority="11" operator="equal">
      <formula>2</formula>
    </cfRule>
    <cfRule type="cellIs" dxfId="4" priority="12" operator="equal">
      <formula>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03D1-549C-451C-AB8C-6B039FCB5E67}">
  <dimension ref="A2:H24"/>
  <sheetViews>
    <sheetView workbookViewId="0">
      <pane ySplit="4" topLeftCell="A5" activePane="bottomLeft" state="frozen"/>
      <selection pane="bottomLeft" activeCell="A5" sqref="A5"/>
    </sheetView>
  </sheetViews>
  <sheetFormatPr defaultRowHeight="14.4" x14ac:dyDescent="0.3"/>
  <cols>
    <col min="1" max="1" width="6.5546875" customWidth="1"/>
    <col min="2" max="2" width="25.5546875" bestFit="1" customWidth="1"/>
    <col min="3" max="3" width="8.44140625" customWidth="1"/>
    <col min="4" max="4" width="36.44140625" customWidth="1"/>
    <col min="5" max="5" width="8.44140625" customWidth="1"/>
    <col min="6" max="6" width="36.44140625" customWidth="1"/>
    <col min="7" max="7" width="8.44140625" customWidth="1"/>
    <col min="8" max="8" width="36.44140625" customWidth="1"/>
  </cols>
  <sheetData>
    <row r="2" spans="1:8" x14ac:dyDescent="0.3">
      <c r="A2" s="231" t="s">
        <v>149</v>
      </c>
      <c r="B2" s="231" t="s">
        <v>150</v>
      </c>
      <c r="C2" s="232" t="s">
        <v>701</v>
      </c>
      <c r="D2" s="232"/>
      <c r="E2" s="232"/>
      <c r="F2" s="232"/>
      <c r="G2" s="232"/>
      <c r="H2" s="232"/>
    </row>
    <row r="3" spans="1:8" x14ac:dyDescent="0.3">
      <c r="A3" s="231"/>
      <c r="B3" s="231"/>
      <c r="C3" s="231" t="s">
        <v>130</v>
      </c>
      <c r="D3" s="231"/>
      <c r="E3" s="231" t="s">
        <v>131</v>
      </c>
      <c r="F3" s="231"/>
      <c r="G3" s="232" t="s">
        <v>132</v>
      </c>
      <c r="H3" s="232"/>
    </row>
    <row r="4" spans="1:8" x14ac:dyDescent="0.3">
      <c r="A4" s="231"/>
      <c r="B4" s="231"/>
      <c r="C4" s="32" t="s">
        <v>487</v>
      </c>
      <c r="D4" s="32" t="s">
        <v>5</v>
      </c>
      <c r="E4" s="32" t="s">
        <v>487</v>
      </c>
      <c r="F4" s="32" t="s">
        <v>5</v>
      </c>
      <c r="G4" s="32" t="s">
        <v>487</v>
      </c>
      <c r="H4" s="32" t="s">
        <v>5</v>
      </c>
    </row>
    <row r="5" spans="1:8" ht="86.4" x14ac:dyDescent="0.3">
      <c r="A5" s="52">
        <v>1</v>
      </c>
      <c r="B5" s="52" t="str">
        <f>WLs!C4</f>
        <v>Tochten ABC1</v>
      </c>
      <c r="C5" s="23">
        <v>1</v>
      </c>
      <c r="D5" s="23" t="s">
        <v>702</v>
      </c>
      <c r="E5" s="23">
        <v>2</v>
      </c>
      <c r="F5" s="23" t="s">
        <v>703</v>
      </c>
      <c r="G5" s="23">
        <v>2</v>
      </c>
      <c r="H5" s="23" t="s">
        <v>704</v>
      </c>
    </row>
    <row r="6" spans="1:8" ht="57.6" x14ac:dyDescent="0.3">
      <c r="A6" s="52">
        <v>2</v>
      </c>
      <c r="B6" s="52" t="str">
        <f>WLs!C5</f>
        <v>Tochten ABC2</v>
      </c>
      <c r="C6" s="23">
        <v>1</v>
      </c>
      <c r="D6" s="23" t="s">
        <v>702</v>
      </c>
      <c r="E6" s="23">
        <v>2</v>
      </c>
      <c r="F6" s="23" t="s">
        <v>705</v>
      </c>
      <c r="G6" s="23">
        <v>2</v>
      </c>
      <c r="H6" s="23" t="s">
        <v>704</v>
      </c>
    </row>
    <row r="7" spans="1:8" ht="72" x14ac:dyDescent="0.3">
      <c r="A7" s="52">
        <v>3</v>
      </c>
      <c r="B7" s="52" t="str">
        <f>WLs!C6</f>
        <v>Tochten DE Almere</v>
      </c>
      <c r="C7" s="23"/>
      <c r="D7" s="23" t="s">
        <v>492</v>
      </c>
      <c r="E7" s="23">
        <v>3</v>
      </c>
      <c r="F7" s="23" t="s">
        <v>706</v>
      </c>
      <c r="G7" s="23">
        <v>3</v>
      </c>
      <c r="H7" s="23" t="s">
        <v>704</v>
      </c>
    </row>
    <row r="8" spans="1:8" ht="115.2" x14ac:dyDescent="0.3">
      <c r="A8" s="52">
        <v>4</v>
      </c>
      <c r="B8" s="52" t="str">
        <f>WLs!C7</f>
        <v>Tochten DE Zuidlob</v>
      </c>
      <c r="C8" s="23"/>
      <c r="D8" s="23" t="s">
        <v>492</v>
      </c>
      <c r="E8" s="23">
        <v>3</v>
      </c>
      <c r="F8" s="23" t="s">
        <v>707</v>
      </c>
      <c r="G8" s="23">
        <v>3</v>
      </c>
      <c r="H8" s="23" t="s">
        <v>708</v>
      </c>
    </row>
    <row r="9" spans="1:8" ht="129.6" x14ac:dyDescent="0.3">
      <c r="A9" s="52">
        <v>5</v>
      </c>
      <c r="B9" s="52" t="str">
        <f>WLs!C8</f>
        <v>Tochten FGIK</v>
      </c>
      <c r="C9" s="23">
        <v>3</v>
      </c>
      <c r="D9" s="23" t="s">
        <v>709</v>
      </c>
      <c r="E9" s="23">
        <v>3</v>
      </c>
      <c r="F9" s="23" t="s">
        <v>710</v>
      </c>
      <c r="G9" s="23">
        <v>2</v>
      </c>
      <c r="H9" s="23" t="s">
        <v>711</v>
      </c>
    </row>
    <row r="10" spans="1:8" ht="129.6" x14ac:dyDescent="0.3">
      <c r="A10" s="52">
        <v>6</v>
      </c>
      <c r="B10" s="52" t="str">
        <f>WLs!C9</f>
        <v>Tochten H</v>
      </c>
      <c r="C10" s="23">
        <v>3</v>
      </c>
      <c r="D10" s="23" t="s">
        <v>712</v>
      </c>
      <c r="E10" s="23">
        <v>3</v>
      </c>
      <c r="F10" s="23" t="s">
        <v>713</v>
      </c>
      <c r="G10" s="23">
        <v>3</v>
      </c>
      <c r="H10" s="23" t="s">
        <v>714</v>
      </c>
    </row>
    <row r="11" spans="1:8" ht="129.6" x14ac:dyDescent="0.3">
      <c r="A11" s="52">
        <v>7</v>
      </c>
      <c r="B11" s="52" t="str">
        <f>WLs!C10</f>
        <v>Tochten J</v>
      </c>
      <c r="C11" s="23">
        <v>3</v>
      </c>
      <c r="D11" s="23" t="s">
        <v>715</v>
      </c>
      <c r="E11" s="23">
        <v>3</v>
      </c>
      <c r="F11" s="23" t="s">
        <v>716</v>
      </c>
      <c r="G11" s="23">
        <v>3</v>
      </c>
      <c r="H11" s="23" t="s">
        <v>714</v>
      </c>
    </row>
    <row r="12" spans="1:8" ht="86.4" x14ac:dyDescent="0.3">
      <c r="A12" s="52">
        <v>8</v>
      </c>
      <c r="B12" s="52" t="str">
        <f>WLs!C11</f>
        <v>Tochten lage afdeling NOP</v>
      </c>
      <c r="C12" s="23">
        <v>3</v>
      </c>
      <c r="D12" s="23" t="s">
        <v>717</v>
      </c>
      <c r="E12" s="23">
        <v>3</v>
      </c>
      <c r="F12" s="23" t="s">
        <v>718</v>
      </c>
      <c r="G12" s="23">
        <v>2</v>
      </c>
      <c r="H12" s="23" t="s">
        <v>719</v>
      </c>
    </row>
    <row r="13" spans="1:8" ht="129.6" x14ac:dyDescent="0.3">
      <c r="A13" s="52">
        <v>9</v>
      </c>
      <c r="B13" s="52" t="str">
        <f>WLs!C12</f>
        <v>Tochten hoge afdeling NOP</v>
      </c>
      <c r="C13" s="23">
        <v>3</v>
      </c>
      <c r="D13" s="23" t="s">
        <v>720</v>
      </c>
      <c r="E13" s="23">
        <v>3</v>
      </c>
      <c r="F13" s="23" t="s">
        <v>721</v>
      </c>
      <c r="G13" s="23">
        <v>2</v>
      </c>
      <c r="H13" s="23" t="s">
        <v>719</v>
      </c>
    </row>
    <row r="14" spans="1:8" ht="158.4" x14ac:dyDescent="0.3">
      <c r="A14" s="52">
        <v>10</v>
      </c>
      <c r="B14" s="52" t="str">
        <f>WLs!C13</f>
        <v>Vaarten NOP</v>
      </c>
      <c r="C14" s="23">
        <v>3</v>
      </c>
      <c r="D14" s="23" t="s">
        <v>722</v>
      </c>
      <c r="E14" s="23">
        <v>3</v>
      </c>
      <c r="F14" s="23" t="s">
        <v>723</v>
      </c>
      <c r="G14" s="23">
        <v>2</v>
      </c>
      <c r="H14" s="23" t="s">
        <v>724</v>
      </c>
    </row>
    <row r="15" spans="1:8" ht="115.2" x14ac:dyDescent="0.3">
      <c r="A15" s="52">
        <v>11</v>
      </c>
      <c r="B15" s="52" t="str">
        <f>WLs!C14</f>
        <v>Vaarten hoge afdeling ZOF</v>
      </c>
      <c r="C15" s="23">
        <v>1</v>
      </c>
      <c r="D15" s="23" t="s">
        <v>725</v>
      </c>
      <c r="E15" s="23">
        <v>2</v>
      </c>
      <c r="F15" s="23" t="s">
        <v>726</v>
      </c>
      <c r="G15" s="23">
        <v>2</v>
      </c>
      <c r="H15" s="23" t="s">
        <v>714</v>
      </c>
    </row>
    <row r="16" spans="1:8" ht="129.6" x14ac:dyDescent="0.3">
      <c r="A16" s="52">
        <v>12</v>
      </c>
      <c r="B16" s="52" t="str">
        <f>WLs!C15</f>
        <v>Vaarten lage afdeling ZOF</v>
      </c>
      <c r="C16" s="23">
        <v>1</v>
      </c>
      <c r="D16" s="23" t="s">
        <v>725</v>
      </c>
      <c r="E16" s="23">
        <v>3</v>
      </c>
      <c r="F16" s="23" t="s">
        <v>727</v>
      </c>
      <c r="G16" s="23">
        <v>3</v>
      </c>
      <c r="H16" s="23" t="s">
        <v>714</v>
      </c>
    </row>
    <row r="17" spans="1:8" ht="43.2" x14ac:dyDescent="0.3">
      <c r="A17" s="52">
        <v>13</v>
      </c>
      <c r="B17" s="52" t="str">
        <f>WLs!C16</f>
        <v>Bovenwater</v>
      </c>
      <c r="C17" s="23">
        <v>1</v>
      </c>
      <c r="D17" s="23" t="s">
        <v>725</v>
      </c>
      <c r="E17" s="23">
        <v>2</v>
      </c>
      <c r="F17" s="23"/>
      <c r="G17" s="23">
        <v>2</v>
      </c>
      <c r="H17" s="23" t="s">
        <v>704</v>
      </c>
    </row>
    <row r="18" spans="1:8" ht="100.8" x14ac:dyDescent="0.3">
      <c r="A18" s="52">
        <v>14</v>
      </c>
      <c r="B18" s="52" t="str">
        <f>WLs!C17</f>
        <v>Harderbroek (oude deel)</v>
      </c>
      <c r="C18" s="23">
        <v>1</v>
      </c>
      <c r="D18" s="23" t="s">
        <v>725</v>
      </c>
      <c r="E18" s="23">
        <v>0</v>
      </c>
      <c r="F18" s="23" t="s">
        <v>728</v>
      </c>
      <c r="G18" s="23">
        <v>2</v>
      </c>
      <c r="H18" s="23" t="s">
        <v>729</v>
      </c>
    </row>
    <row r="19" spans="1:8" ht="72" x14ac:dyDescent="0.3">
      <c r="A19" s="52">
        <v>15</v>
      </c>
      <c r="B19" s="52" t="str">
        <f>WLs!C18</f>
        <v>Harderbroek Roerdomp</v>
      </c>
      <c r="C19" s="23">
        <v>1</v>
      </c>
      <c r="D19" s="23" t="s">
        <v>725</v>
      </c>
      <c r="E19" s="23">
        <v>2</v>
      </c>
      <c r="F19" s="23" t="s">
        <v>730</v>
      </c>
      <c r="G19" s="23">
        <v>2</v>
      </c>
      <c r="H19" s="23" t="s">
        <v>514</v>
      </c>
    </row>
    <row r="20" spans="1:8" ht="115.2" x14ac:dyDescent="0.3">
      <c r="A20" s="52">
        <v>16</v>
      </c>
      <c r="B20" s="52" t="str">
        <f>WLs!C19</f>
        <v>Lepelaarplassen</v>
      </c>
      <c r="C20" s="23">
        <v>1</v>
      </c>
      <c r="D20" s="23" t="s">
        <v>731</v>
      </c>
      <c r="E20" s="23">
        <v>2</v>
      </c>
      <c r="F20" s="23" t="s">
        <v>732</v>
      </c>
      <c r="G20" s="23">
        <v>2</v>
      </c>
      <c r="H20" s="23" t="s">
        <v>714</v>
      </c>
    </row>
    <row r="21" spans="1:8" x14ac:dyDescent="0.3">
      <c r="A21" s="52">
        <v>17</v>
      </c>
      <c r="B21" s="52" t="str">
        <f>WLs!C20</f>
        <v>Noorderplassen</v>
      </c>
      <c r="C21" s="23">
        <v>1</v>
      </c>
      <c r="D21" s="23" t="s">
        <v>733</v>
      </c>
      <c r="E21" s="23">
        <v>1</v>
      </c>
      <c r="F21" s="23" t="s">
        <v>489</v>
      </c>
      <c r="G21" s="23">
        <v>1</v>
      </c>
      <c r="H21" s="23" t="s">
        <v>490</v>
      </c>
    </row>
    <row r="22" spans="1:8" ht="72" x14ac:dyDescent="0.3">
      <c r="A22" s="52">
        <v>18</v>
      </c>
      <c r="B22" s="52" t="str">
        <f>WLs!C21</f>
        <v>Oostvaardersplassen</v>
      </c>
      <c r="C22" s="23">
        <v>0</v>
      </c>
      <c r="D22" s="23" t="s">
        <v>518</v>
      </c>
      <c r="E22" s="23">
        <v>2</v>
      </c>
      <c r="F22" s="23" t="s">
        <v>734</v>
      </c>
      <c r="G22" s="23">
        <v>2</v>
      </c>
      <c r="H22" s="23" t="s">
        <v>490</v>
      </c>
    </row>
    <row r="23" spans="1:8" ht="144" x14ac:dyDescent="0.3">
      <c r="A23" s="52">
        <v>19</v>
      </c>
      <c r="B23" s="52" t="str">
        <f>WLs!C22</f>
        <v>Vollenhover- en Kadoelermeer</v>
      </c>
      <c r="C23" s="23">
        <v>1</v>
      </c>
      <c r="D23" s="23" t="s">
        <v>735</v>
      </c>
      <c r="E23" s="23">
        <v>1</v>
      </c>
      <c r="F23" s="23" t="s">
        <v>736</v>
      </c>
      <c r="G23" s="23">
        <v>1</v>
      </c>
      <c r="H23" s="23" t="s">
        <v>490</v>
      </c>
    </row>
    <row r="24" spans="1:8" ht="43.2" x14ac:dyDescent="0.3">
      <c r="A24" s="52">
        <v>20</v>
      </c>
      <c r="B24" s="52" t="str">
        <f>WLs!C23</f>
        <v>Weerwater</v>
      </c>
      <c r="C24" s="23">
        <v>1</v>
      </c>
      <c r="D24" s="23" t="s">
        <v>737</v>
      </c>
      <c r="E24" s="23">
        <v>1</v>
      </c>
      <c r="F24" s="23" t="s">
        <v>489</v>
      </c>
      <c r="G24" s="23">
        <v>1</v>
      </c>
      <c r="H24" s="23" t="s">
        <v>490</v>
      </c>
    </row>
  </sheetData>
  <mergeCells count="6">
    <mergeCell ref="A2:A4"/>
    <mergeCell ref="B2:B4"/>
    <mergeCell ref="C2:H2"/>
    <mergeCell ref="G3:H3"/>
    <mergeCell ref="C3:D3"/>
    <mergeCell ref="E3:F3"/>
  </mergeCells>
  <conditionalFormatting sqref="C5:C24 E5:E24 G5:G24">
    <cfRule type="cellIs" dxfId="3" priority="9" operator="equal">
      <formula>0</formula>
    </cfRule>
    <cfRule type="cellIs" dxfId="2" priority="10" operator="equal">
      <formula>3</formula>
    </cfRule>
    <cfRule type="cellIs" dxfId="1" priority="11" operator="equal">
      <formula>2</formula>
    </cfRule>
    <cfRule type="cellIs" dxfId="0" priority="12" operator="equal">
      <formula>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D06B-4EEA-4224-98AE-8769DFED68A8}">
  <dimension ref="A1:I12"/>
  <sheetViews>
    <sheetView workbookViewId="0"/>
  </sheetViews>
  <sheetFormatPr defaultRowHeight="14.4" x14ac:dyDescent="0.3"/>
  <cols>
    <col min="2" max="9" width="10.44140625" customWidth="1"/>
  </cols>
  <sheetData>
    <row r="1" spans="1:9" x14ac:dyDescent="0.3">
      <c r="A1" s="1" t="s">
        <v>487</v>
      </c>
      <c r="B1" s="1" t="s">
        <v>738</v>
      </c>
      <c r="C1" s="1" t="s">
        <v>739</v>
      </c>
      <c r="D1" s="1" t="s">
        <v>740</v>
      </c>
      <c r="E1" s="1" t="s">
        <v>741</v>
      </c>
      <c r="F1" s="1" t="s">
        <v>742</v>
      </c>
      <c r="G1" s="1" t="s">
        <v>743</v>
      </c>
      <c r="H1" s="1" t="s">
        <v>744</v>
      </c>
      <c r="I1" s="1" t="s">
        <v>745</v>
      </c>
    </row>
    <row r="2" spans="1:9" x14ac:dyDescent="0.3">
      <c r="A2" s="2">
        <v>0</v>
      </c>
      <c r="B2" s="2" t="e" vm="10">
        <v>#VALUE!</v>
      </c>
      <c r="C2" s="2" t="e" vm="11">
        <v>#VALUE!</v>
      </c>
      <c r="D2" s="2" t="e" vm="12">
        <v>#VALUE!</v>
      </c>
      <c r="E2" s="2" t="e" vm="13">
        <v>#VALUE!</v>
      </c>
      <c r="F2" s="2" t="e" vm="14">
        <v>#VALUE!</v>
      </c>
      <c r="G2" s="2" t="e" vm="15">
        <v>#VALUE!</v>
      </c>
      <c r="H2" s="2" t="e" vm="16">
        <v>#VALUE!</v>
      </c>
      <c r="I2" s="2" t="e" vm="17">
        <v>#VALUE!</v>
      </c>
    </row>
    <row r="3" spans="1:9" x14ac:dyDescent="0.3">
      <c r="A3" s="2">
        <v>1</v>
      </c>
      <c r="B3" s="2" t="e" vm="18">
        <v>#VALUE!</v>
      </c>
      <c r="C3" s="2" t="e" vm="19">
        <v>#VALUE!</v>
      </c>
      <c r="D3" s="2" t="e" vm="20">
        <v>#VALUE!</v>
      </c>
      <c r="E3" s="2" t="e" vm="21">
        <v>#VALUE!</v>
      </c>
      <c r="F3" s="2" t="e" vm="22">
        <v>#VALUE!</v>
      </c>
      <c r="G3" s="2" t="e" vm="23">
        <v>#VALUE!</v>
      </c>
      <c r="H3" s="2" t="e" vm="24">
        <v>#VALUE!</v>
      </c>
      <c r="I3" s="2" t="e" vm="25">
        <v>#VALUE!</v>
      </c>
    </row>
    <row r="4" spans="1:9" x14ac:dyDescent="0.3">
      <c r="A4" s="2">
        <v>2</v>
      </c>
      <c r="B4" s="2" t="e" vm="26">
        <v>#VALUE!</v>
      </c>
      <c r="C4" s="2" t="e" vm="27">
        <v>#VALUE!</v>
      </c>
      <c r="D4" s="2" t="e" vm="28">
        <v>#VALUE!</v>
      </c>
      <c r="E4" s="2" t="e" vm="29">
        <v>#VALUE!</v>
      </c>
      <c r="F4" s="2" t="e" vm="30">
        <v>#VALUE!</v>
      </c>
      <c r="G4" s="2" t="e" vm="31">
        <v>#VALUE!</v>
      </c>
      <c r="H4" s="2" t="e" vm="32">
        <v>#VALUE!</v>
      </c>
      <c r="I4" s="2" t="e" vm="33">
        <v>#VALUE!</v>
      </c>
    </row>
    <row r="5" spans="1:9" x14ac:dyDescent="0.3">
      <c r="A5" s="2">
        <v>3</v>
      </c>
      <c r="B5" s="2" t="e" vm="34">
        <v>#VALUE!</v>
      </c>
      <c r="C5" s="2" t="e" vm="35">
        <v>#VALUE!</v>
      </c>
      <c r="D5" s="2" t="e" vm="36">
        <v>#VALUE!</v>
      </c>
      <c r="E5" s="2" t="e" vm="37">
        <v>#VALUE!</v>
      </c>
      <c r="F5" s="2" t="e" vm="38">
        <v>#VALUE!</v>
      </c>
      <c r="G5" s="2" t="e" vm="39">
        <v>#VALUE!</v>
      </c>
      <c r="H5" s="2" t="e" vm="40">
        <v>#VALUE!</v>
      </c>
      <c r="I5" s="21" t="e" vm="41">
        <v>#VALUE!</v>
      </c>
    </row>
    <row r="7" spans="1:9" x14ac:dyDescent="0.3">
      <c r="A7" s="1" t="s">
        <v>487</v>
      </c>
      <c r="B7" s="1" t="s">
        <v>746</v>
      </c>
    </row>
    <row r="8" spans="1:9" x14ac:dyDescent="0.3">
      <c r="A8" s="2">
        <v>1</v>
      </c>
      <c r="B8" s="2" t="e" vm="42">
        <v>#VALUE!</v>
      </c>
    </row>
    <row r="9" spans="1:9" x14ac:dyDescent="0.3">
      <c r="A9" s="2">
        <v>2</v>
      </c>
      <c r="B9" s="2" t="e" vm="25">
        <v>#VALUE!</v>
      </c>
    </row>
    <row r="10" spans="1:9" x14ac:dyDescent="0.3">
      <c r="A10" s="2">
        <v>3</v>
      </c>
      <c r="B10" s="2" t="e" vm="43">
        <v>#VALUE!</v>
      </c>
    </row>
    <row r="11" spans="1:9" x14ac:dyDescent="0.3">
      <c r="A11" s="2">
        <v>4</v>
      </c>
      <c r="B11" s="2" t="e" vm="33">
        <v>#VALUE!</v>
      </c>
    </row>
    <row r="12" spans="1:9" x14ac:dyDescent="0.3">
      <c r="A12" s="2">
        <v>5</v>
      </c>
      <c r="B12" s="2" t="e" vm="41">
        <v>#VALUE!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12AC-7925-488B-8251-55E15F0A0BB4}">
  <dimension ref="A1:AL28"/>
  <sheetViews>
    <sheetView showGridLines="0" workbookViewId="0"/>
  </sheetViews>
  <sheetFormatPr defaultRowHeight="14.4" x14ac:dyDescent="0.3"/>
  <cols>
    <col min="1" max="1" width="6.44140625" customWidth="1"/>
    <col min="2" max="2" width="27.44140625" bestFit="1" customWidth="1"/>
    <col min="4" max="11" width="7.5546875" customWidth="1"/>
    <col min="15" max="15" width="1.44140625" customWidth="1"/>
    <col min="18" max="18" width="1.44140625" customWidth="1"/>
    <col min="21" max="21" width="1.44140625" customWidth="1"/>
    <col min="25" max="25" width="5.5546875" customWidth="1"/>
    <col min="26" max="26" width="27.44140625" bestFit="1" customWidth="1"/>
    <col min="27" max="30" width="6" customWidth="1"/>
    <col min="32" max="32" width="33.44140625" customWidth="1"/>
    <col min="33" max="33" width="4.5546875" customWidth="1"/>
    <col min="34" max="34" width="27.44140625" bestFit="1" customWidth="1"/>
    <col min="35" max="38" width="9" customWidth="1"/>
  </cols>
  <sheetData>
    <row r="1" spans="1:38" s="7" customFormat="1" ht="16.350000000000001" customHeight="1" thickBot="1" x14ac:dyDescent="0.35">
      <c r="A1" s="7" t="s">
        <v>145</v>
      </c>
      <c r="M1" s="7" t="s">
        <v>146</v>
      </c>
      <c r="Y1" s="142" t="s">
        <v>147</v>
      </c>
      <c r="AF1" s="142" t="s">
        <v>148</v>
      </c>
    </row>
    <row r="2" spans="1:38" s="33" customFormat="1" x14ac:dyDescent="0.3">
      <c r="A2" s="201" t="s">
        <v>149</v>
      </c>
      <c r="B2" s="204" t="s">
        <v>150</v>
      </c>
      <c r="C2" s="207" t="s">
        <v>151</v>
      </c>
      <c r="D2" s="210" t="s">
        <v>58</v>
      </c>
      <c r="E2" s="200"/>
      <c r="F2" s="199" t="s">
        <v>59</v>
      </c>
      <c r="G2" s="211"/>
      <c r="H2" s="210" t="s">
        <v>60</v>
      </c>
      <c r="I2" s="200"/>
      <c r="J2" s="199" t="s">
        <v>61</v>
      </c>
      <c r="K2" s="200"/>
      <c r="M2" s="220" t="s">
        <v>58</v>
      </c>
      <c r="N2" s="220"/>
      <c r="P2" s="220" t="s">
        <v>59</v>
      </c>
      <c r="Q2" s="220"/>
      <c r="S2" s="220" t="s">
        <v>60</v>
      </c>
      <c r="T2" s="220"/>
      <c r="V2" s="220" t="s">
        <v>61</v>
      </c>
      <c r="W2" s="220"/>
      <c r="Y2" s="216" t="s">
        <v>149</v>
      </c>
      <c r="Z2" s="216" t="s">
        <v>152</v>
      </c>
      <c r="AA2" s="217" t="s">
        <v>153</v>
      </c>
      <c r="AB2" s="217" t="s">
        <v>154</v>
      </c>
      <c r="AC2" s="217" t="s">
        <v>155</v>
      </c>
      <c r="AD2" s="218" t="s">
        <v>61</v>
      </c>
      <c r="AF2" s="216" t="s">
        <v>156</v>
      </c>
      <c r="AG2" s="216" t="s">
        <v>149</v>
      </c>
      <c r="AH2" s="216" t="s">
        <v>152</v>
      </c>
      <c r="AI2" s="217" t="s">
        <v>153</v>
      </c>
      <c r="AJ2" s="217" t="s">
        <v>154</v>
      </c>
      <c r="AK2" s="217" t="s">
        <v>155</v>
      </c>
      <c r="AL2" s="218" t="s">
        <v>61</v>
      </c>
    </row>
    <row r="3" spans="1:38" s="33" customFormat="1" x14ac:dyDescent="0.3">
      <c r="A3" s="202"/>
      <c r="B3" s="205"/>
      <c r="C3" s="208"/>
      <c r="D3" s="212" t="s">
        <v>157</v>
      </c>
      <c r="E3" s="213"/>
      <c r="F3" s="214" t="s">
        <v>157</v>
      </c>
      <c r="G3" s="215"/>
      <c r="H3" s="212" t="s">
        <v>157</v>
      </c>
      <c r="I3" s="213"/>
      <c r="J3" s="214" t="s">
        <v>157</v>
      </c>
      <c r="K3" s="213"/>
      <c r="M3" s="219" t="s">
        <v>158</v>
      </c>
      <c r="N3" s="219" t="s">
        <v>159</v>
      </c>
      <c r="P3" s="219" t="s">
        <v>158</v>
      </c>
      <c r="Q3" s="219" t="s">
        <v>159</v>
      </c>
      <c r="S3" s="219" t="s">
        <v>158</v>
      </c>
      <c r="T3" s="219" t="s">
        <v>159</v>
      </c>
      <c r="V3" s="219" t="s">
        <v>158</v>
      </c>
      <c r="W3" s="219" t="s">
        <v>159</v>
      </c>
      <c r="Y3" s="216"/>
      <c r="Z3" s="216"/>
      <c r="AA3" s="217"/>
      <c r="AB3" s="217"/>
      <c r="AC3" s="217"/>
      <c r="AD3" s="218"/>
      <c r="AF3" s="216"/>
      <c r="AG3" s="216"/>
      <c r="AH3" s="216"/>
      <c r="AI3" s="217"/>
      <c r="AJ3" s="217"/>
      <c r="AK3" s="217"/>
      <c r="AL3" s="218"/>
    </row>
    <row r="4" spans="1:38" s="33" customFormat="1" ht="19.350000000000001" customHeight="1" thickBot="1" x14ac:dyDescent="0.35">
      <c r="A4" s="203"/>
      <c r="B4" s="206"/>
      <c r="C4" s="209"/>
      <c r="D4" s="48" t="s">
        <v>160</v>
      </c>
      <c r="E4" s="50" t="s">
        <v>80</v>
      </c>
      <c r="F4" s="49" t="s">
        <v>160</v>
      </c>
      <c r="G4" s="51" t="s">
        <v>80</v>
      </c>
      <c r="H4" s="48" t="s">
        <v>160</v>
      </c>
      <c r="I4" s="50" t="s">
        <v>80</v>
      </c>
      <c r="J4" s="49" t="s">
        <v>160</v>
      </c>
      <c r="K4" s="50" t="s">
        <v>80</v>
      </c>
      <c r="M4" s="219"/>
      <c r="N4" s="219"/>
      <c r="P4" s="219"/>
      <c r="Q4" s="219"/>
      <c r="S4" s="219"/>
      <c r="T4" s="219"/>
      <c r="V4" s="219"/>
      <c r="W4" s="219"/>
      <c r="Y4" s="216"/>
      <c r="Z4" s="216"/>
      <c r="AA4" s="217"/>
      <c r="AB4" s="217"/>
      <c r="AC4" s="217"/>
      <c r="AD4" s="218"/>
      <c r="AF4" s="216"/>
      <c r="AG4" s="216"/>
      <c r="AH4" s="216"/>
      <c r="AI4" s="217"/>
      <c r="AJ4" s="217"/>
      <c r="AK4" s="217"/>
      <c r="AL4" s="218"/>
    </row>
    <row r="5" spans="1:38" s="36" customFormat="1" x14ac:dyDescent="0.3">
      <c r="A5" s="127">
        <v>1</v>
      </c>
      <c r="B5" s="128" t="str">
        <f>WLs!C4</f>
        <v>Tochten ABC1</v>
      </c>
      <c r="C5" s="129" t="s">
        <v>161</v>
      </c>
      <c r="D5" s="102" t="str">
        <f>WLs!G4</f>
        <v>n.v.t.</v>
      </c>
      <c r="E5" s="60" t="str">
        <f>Fytoplankton!AE4</f>
        <v>n.v.t.</v>
      </c>
      <c r="F5" s="101">
        <f>WLs!H4</f>
        <v>0.55000000000000004</v>
      </c>
      <c r="G5" s="103">
        <f>Vegetatie!AE4</f>
        <v>0.56000000000000005</v>
      </c>
      <c r="H5" s="102">
        <f>WLs!I4</f>
        <v>0.45</v>
      </c>
      <c r="I5" s="60">
        <f>Macrofauna!AE4</f>
        <v>0.49</v>
      </c>
      <c r="J5" s="101">
        <f>WLs!J4</f>
        <v>0.4</v>
      </c>
      <c r="K5" s="60">
        <f>Vis!AE4</f>
        <v>0.4</v>
      </c>
      <c r="M5" s="54"/>
      <c r="N5" s="54"/>
      <c r="P5" s="74">
        <v>0.51</v>
      </c>
      <c r="Q5" s="54">
        <v>0.49</v>
      </c>
      <c r="S5" s="74">
        <v>0.54</v>
      </c>
      <c r="T5" s="54">
        <v>0.51</v>
      </c>
      <c r="V5" s="84">
        <v>0.38</v>
      </c>
      <c r="W5" s="59">
        <v>0.43</v>
      </c>
      <c r="Y5" s="34">
        <v>1</v>
      </c>
      <c r="Z5" s="34" t="str">
        <f>WLs!C4</f>
        <v>Tochten ABC1</v>
      </c>
      <c r="AA5" s="35">
        <f>Fytoplankton!X4</f>
        <v>0</v>
      </c>
      <c r="AB5" s="35">
        <f>Vegetatie!X4</f>
        <v>0.59</v>
      </c>
      <c r="AC5" s="35">
        <f>Macrofauna!X4</f>
        <v>0.52</v>
      </c>
      <c r="AD5" s="35">
        <f>Vis!X4</f>
        <v>0.43</v>
      </c>
      <c r="AF5" s="34">
        <v>1</v>
      </c>
      <c r="AG5" s="34">
        <v>1</v>
      </c>
      <c r="AH5" s="34" t="str">
        <f>WLs!C4</f>
        <v>Tochten ABC1</v>
      </c>
      <c r="AI5" s="35" t="s">
        <v>162</v>
      </c>
      <c r="AJ5" s="35">
        <f>IF(AF5=1,P5-AB5,Q5-AB5)</f>
        <v>-7.999999999999996E-2</v>
      </c>
      <c r="AK5" s="35">
        <f>IF(AF5=1,S5-AC5,T5-AC5)</f>
        <v>2.0000000000000018E-2</v>
      </c>
      <c r="AL5" s="35">
        <f>IF(AF5=1,V5-AD5,W5-AD5)</f>
        <v>-4.9999999999999989E-2</v>
      </c>
    </row>
    <row r="6" spans="1:38" s="36" customFormat="1" x14ac:dyDescent="0.3">
      <c r="A6" s="46">
        <v>2</v>
      </c>
      <c r="B6" s="100" t="str">
        <f>WLs!C5</f>
        <v>Tochten ABC2</v>
      </c>
      <c r="C6" s="130" t="s">
        <v>161</v>
      </c>
      <c r="D6" s="46" t="str">
        <f>WLs!G5</f>
        <v>n.v.t.</v>
      </c>
      <c r="E6" s="98" t="str">
        <f>Fytoplankton!AE5</f>
        <v>n.v.t.</v>
      </c>
      <c r="F6" s="94">
        <f>WLs!H5</f>
        <v>0.5</v>
      </c>
      <c r="G6" s="104">
        <f>Vegetatie!AE5</f>
        <v>0.53</v>
      </c>
      <c r="H6" s="95">
        <f>WLs!I5</f>
        <v>0.35</v>
      </c>
      <c r="I6" s="98">
        <f>Macrofauna!AE5</f>
        <v>0.4</v>
      </c>
      <c r="J6" s="94">
        <f>WLs!J5</f>
        <v>0.45</v>
      </c>
      <c r="K6" s="98">
        <f>Vis!AE5</f>
        <v>0.45</v>
      </c>
      <c r="M6" s="54"/>
      <c r="N6" s="54"/>
      <c r="P6" s="74">
        <v>0.55000000000000004</v>
      </c>
      <c r="Q6" s="54">
        <v>0.55000000000000004</v>
      </c>
      <c r="S6" s="74">
        <v>0.41</v>
      </c>
      <c r="T6" s="54">
        <v>0.39</v>
      </c>
      <c r="V6" s="84">
        <v>0.47</v>
      </c>
      <c r="W6" s="59">
        <v>0.45</v>
      </c>
      <c r="Y6" s="34">
        <v>2</v>
      </c>
      <c r="Z6" s="34" t="str">
        <f>WLs!C5</f>
        <v>Tochten ABC2</v>
      </c>
      <c r="AA6" s="35">
        <f>Fytoplankton!X5</f>
        <v>0</v>
      </c>
      <c r="AB6" s="35">
        <f>Vegetatie!X5</f>
        <v>0.56000000000000005</v>
      </c>
      <c r="AC6" s="35">
        <f>Macrofauna!X5</f>
        <v>0.43</v>
      </c>
      <c r="AD6" s="35">
        <f>Vis!X5</f>
        <v>0.48</v>
      </c>
      <c r="AF6" s="34">
        <v>1</v>
      </c>
      <c r="AG6" s="34">
        <v>2</v>
      </c>
      <c r="AH6" s="34" t="str">
        <f>WLs!C5</f>
        <v>Tochten ABC2</v>
      </c>
      <c r="AI6" s="35" t="s">
        <v>162</v>
      </c>
      <c r="AJ6" s="35">
        <f t="shared" ref="AJ6:AJ24" si="0">IF(AF6=1,P6-AB6,Q6-AB6)</f>
        <v>-1.0000000000000009E-2</v>
      </c>
      <c r="AK6" s="35">
        <f t="shared" ref="AK6:AK24" si="1">IF(AF6=1,S6-AC6,T6-AC6)</f>
        <v>-2.0000000000000018E-2</v>
      </c>
      <c r="AL6" s="35">
        <f t="shared" ref="AL6:AL24" si="2">IF(AF6=1,V6-AD6,W6-AD6)</f>
        <v>-1.0000000000000009E-2</v>
      </c>
    </row>
    <row r="7" spans="1:38" s="36" customFormat="1" x14ac:dyDescent="0.3">
      <c r="A7" s="46">
        <v>3</v>
      </c>
      <c r="B7" s="100" t="str">
        <f>WLs!C6</f>
        <v>Tochten DE Almere</v>
      </c>
      <c r="C7" s="130" t="s">
        <v>163</v>
      </c>
      <c r="D7" s="46" t="s">
        <v>162</v>
      </c>
      <c r="E7" s="98" t="str">
        <f>Fytoplankton!AE6</f>
        <v>n.v.t.</v>
      </c>
      <c r="F7" s="94"/>
      <c r="G7" s="104">
        <f>Vegetatie!AE6</f>
        <v>0.45</v>
      </c>
      <c r="H7" s="95"/>
      <c r="I7" s="98">
        <f>Macrofauna!AE6</f>
        <v>0.43</v>
      </c>
      <c r="J7" s="94"/>
      <c r="K7" s="98">
        <f>Vis!AE6</f>
        <v>0.39</v>
      </c>
      <c r="M7" s="54"/>
      <c r="N7" s="54"/>
      <c r="P7" s="54" t="s">
        <v>162</v>
      </c>
      <c r="Q7" s="54" t="s">
        <v>162</v>
      </c>
      <c r="S7" s="54" t="s">
        <v>162</v>
      </c>
      <c r="T7" s="54" t="s">
        <v>162</v>
      </c>
      <c r="V7" s="54" t="s">
        <v>162</v>
      </c>
      <c r="W7" s="54" t="s">
        <v>162</v>
      </c>
      <c r="Y7" s="34">
        <v>3</v>
      </c>
      <c r="Z7" s="34" t="str">
        <f>WLs!C6</f>
        <v>Tochten DE Almere</v>
      </c>
      <c r="AA7" s="35">
        <f>Fytoplankton!X6</f>
        <v>0</v>
      </c>
      <c r="AB7" s="35">
        <f>Vegetatie!X6</f>
        <v>0.55000000000000004</v>
      </c>
      <c r="AC7" s="35">
        <f>Macrofauna!X6</f>
        <v>0.59</v>
      </c>
      <c r="AD7" s="35">
        <f>Vis!X6</f>
        <v>0.42</v>
      </c>
      <c r="AF7" s="34"/>
      <c r="AG7" s="34">
        <v>3</v>
      </c>
      <c r="AH7" s="34" t="str">
        <f>WLs!C6</f>
        <v>Tochten DE Almere</v>
      </c>
      <c r="AI7" s="35" t="s">
        <v>162</v>
      </c>
      <c r="AJ7" s="35" t="s">
        <v>164</v>
      </c>
      <c r="AK7" s="35" t="s">
        <v>164</v>
      </c>
      <c r="AL7" s="35" t="s">
        <v>164</v>
      </c>
    </row>
    <row r="8" spans="1:38" s="36" customFormat="1" x14ac:dyDescent="0.3">
      <c r="A8" s="46">
        <v>4</v>
      </c>
      <c r="B8" s="100" t="str">
        <f>WLs!C7</f>
        <v>Tochten DE Zuidlob</v>
      </c>
      <c r="C8" s="130" t="s">
        <v>163</v>
      </c>
      <c r="D8" s="46" t="s">
        <v>162</v>
      </c>
      <c r="E8" s="98" t="str">
        <f>Fytoplankton!AE7</f>
        <v>n.v.t.</v>
      </c>
      <c r="F8" s="94"/>
      <c r="G8" s="104">
        <f>Vegetatie!AE7</f>
        <v>0.49</v>
      </c>
      <c r="H8" s="95"/>
      <c r="I8" s="98">
        <f>Macrofauna!AE7</f>
        <v>0.43</v>
      </c>
      <c r="J8" s="94"/>
      <c r="K8" s="98">
        <f>Vis!AE7</f>
        <v>0.47</v>
      </c>
      <c r="M8" s="54"/>
      <c r="N8" s="54"/>
      <c r="P8" s="54" t="s">
        <v>162</v>
      </c>
      <c r="Q8" s="54" t="s">
        <v>162</v>
      </c>
      <c r="S8" s="54" t="s">
        <v>162</v>
      </c>
      <c r="T8" s="54" t="s">
        <v>162</v>
      </c>
      <c r="V8" s="54" t="s">
        <v>162</v>
      </c>
      <c r="W8" s="54" t="s">
        <v>162</v>
      </c>
      <c r="Y8" s="34">
        <v>4</v>
      </c>
      <c r="Z8" s="34" t="str">
        <f>WLs!C7</f>
        <v>Tochten DE Zuidlob</v>
      </c>
      <c r="AA8" s="35">
        <f>Fytoplankton!X7</f>
        <v>0</v>
      </c>
      <c r="AB8" s="35">
        <f>Vegetatie!X7</f>
        <v>0.52</v>
      </c>
      <c r="AC8" s="35">
        <f>Macrofauna!X7</f>
        <v>0.45900000000000002</v>
      </c>
      <c r="AD8" s="35">
        <f>Vis!X7</f>
        <v>0.5</v>
      </c>
      <c r="AF8" s="34"/>
      <c r="AG8" s="34">
        <v>4</v>
      </c>
      <c r="AH8" s="34" t="str">
        <f>WLs!C7</f>
        <v>Tochten DE Zuidlob</v>
      </c>
      <c r="AI8" s="35" t="s">
        <v>162</v>
      </c>
      <c r="AJ8" s="35" t="s">
        <v>164</v>
      </c>
      <c r="AK8" s="35" t="s">
        <v>164</v>
      </c>
      <c r="AL8" s="35" t="s">
        <v>164</v>
      </c>
    </row>
    <row r="9" spans="1:38" s="36" customFormat="1" x14ac:dyDescent="0.3">
      <c r="A9" s="46">
        <v>5</v>
      </c>
      <c r="B9" s="100" t="str">
        <f>WLs!C8</f>
        <v>Tochten FGIK</v>
      </c>
      <c r="C9" s="130" t="s">
        <v>163</v>
      </c>
      <c r="D9" s="46" t="str">
        <f>WLs!G8</f>
        <v>n.v.t.</v>
      </c>
      <c r="E9" s="98" t="str">
        <f>Fytoplankton!AE8</f>
        <v>n.v.t.</v>
      </c>
      <c r="F9" s="94">
        <f>WLs!H8</f>
        <v>0.5</v>
      </c>
      <c r="G9" s="104">
        <f>Vegetatie!AE8</f>
        <v>0.52</v>
      </c>
      <c r="H9" s="95">
        <f>WLs!I8</f>
        <v>0.35</v>
      </c>
      <c r="I9" s="98">
        <f>Macrofauna!AE8</f>
        <v>0.39</v>
      </c>
      <c r="J9" s="94">
        <f>WLs!J8</f>
        <v>0.4</v>
      </c>
      <c r="K9" s="98">
        <f>Vis!AE8</f>
        <v>0.44</v>
      </c>
      <c r="M9" s="54"/>
      <c r="N9" s="54"/>
      <c r="P9" s="74">
        <v>0.44</v>
      </c>
      <c r="Q9" s="54">
        <v>0.44</v>
      </c>
      <c r="S9" s="74">
        <v>0.36</v>
      </c>
      <c r="T9" s="54">
        <v>0.36</v>
      </c>
      <c r="V9" s="84">
        <v>0.44</v>
      </c>
      <c r="W9" s="59">
        <v>0.44</v>
      </c>
      <c r="Y9" s="34">
        <v>5</v>
      </c>
      <c r="Z9" s="34" t="str">
        <f>WLs!C8</f>
        <v>Tochten FGIK</v>
      </c>
      <c r="AA9" s="35">
        <f>Fytoplankton!X8</f>
        <v>0</v>
      </c>
      <c r="AB9" s="35">
        <f>Vegetatie!X8</f>
        <v>0.55000000000000004</v>
      </c>
      <c r="AC9" s="35">
        <f>Macrofauna!X8</f>
        <v>0.42</v>
      </c>
      <c r="AD9" s="35">
        <f>Vis!X8</f>
        <v>0.47</v>
      </c>
      <c r="AF9" s="34">
        <v>1</v>
      </c>
      <c r="AG9" s="34">
        <v>5</v>
      </c>
      <c r="AH9" s="34" t="str">
        <f>WLs!C8</f>
        <v>Tochten FGIK</v>
      </c>
      <c r="AI9" s="35" t="s">
        <v>162</v>
      </c>
      <c r="AJ9" s="35">
        <f t="shared" si="0"/>
        <v>-0.11000000000000004</v>
      </c>
      <c r="AK9" s="35">
        <f t="shared" si="1"/>
        <v>-0.06</v>
      </c>
      <c r="AL9" s="35">
        <f t="shared" si="2"/>
        <v>-2.9999999999999971E-2</v>
      </c>
    </row>
    <row r="10" spans="1:38" s="36" customFormat="1" x14ac:dyDescent="0.3">
      <c r="A10" s="46">
        <v>6</v>
      </c>
      <c r="B10" s="100" t="str">
        <f>WLs!C9</f>
        <v>Tochten H</v>
      </c>
      <c r="C10" s="130" t="s">
        <v>163</v>
      </c>
      <c r="D10" s="46" t="str">
        <f>WLs!G9</f>
        <v>n.v.t.</v>
      </c>
      <c r="E10" s="98" t="str">
        <f>Fytoplankton!AE9</f>
        <v>n.v.t.</v>
      </c>
      <c r="F10" s="94">
        <f>WLs!H9</f>
        <v>0.55000000000000004</v>
      </c>
      <c r="G10" s="104">
        <f>Vegetatie!AE9</f>
        <v>0.6</v>
      </c>
      <c r="H10" s="95">
        <f>WLs!I9</f>
        <v>0.4</v>
      </c>
      <c r="I10" s="98">
        <f>Macrofauna!AE9</f>
        <v>0.41</v>
      </c>
      <c r="J10" s="94">
        <f>WLs!J9</f>
        <v>0.5</v>
      </c>
      <c r="K10" s="98">
        <f>Vis!AE9</f>
        <v>0.47</v>
      </c>
      <c r="M10" s="54"/>
      <c r="N10" s="54"/>
      <c r="P10" s="54">
        <v>0.52</v>
      </c>
      <c r="Q10" s="74">
        <v>0.46</v>
      </c>
      <c r="S10" s="54">
        <v>0.38</v>
      </c>
      <c r="T10" s="74">
        <v>0.43</v>
      </c>
      <c r="V10" s="59">
        <v>0.48</v>
      </c>
      <c r="W10" s="84">
        <v>0.55000000000000004</v>
      </c>
      <c r="Y10" s="34">
        <v>6</v>
      </c>
      <c r="Z10" s="34" t="str">
        <f>WLs!C9</f>
        <v>Tochten H</v>
      </c>
      <c r="AA10" s="35">
        <f>Fytoplankton!X9</f>
        <v>0</v>
      </c>
      <c r="AB10" s="35">
        <f>Vegetatie!X9</f>
        <v>0.64</v>
      </c>
      <c r="AC10" s="35">
        <f>Macrofauna!X9</f>
        <v>0.44</v>
      </c>
      <c r="AD10" s="35">
        <f>Vis!X9</f>
        <v>0.5</v>
      </c>
      <c r="AF10" s="34">
        <v>2</v>
      </c>
      <c r="AG10" s="34">
        <v>6</v>
      </c>
      <c r="AH10" s="34" t="str">
        <f>WLs!C9</f>
        <v>Tochten H</v>
      </c>
      <c r="AI10" s="35" t="s">
        <v>162</v>
      </c>
      <c r="AJ10" s="35">
        <f t="shared" si="0"/>
        <v>-0.18</v>
      </c>
      <c r="AK10" s="35">
        <f t="shared" si="1"/>
        <v>-1.0000000000000009E-2</v>
      </c>
      <c r="AL10" s="35">
        <f t="shared" si="2"/>
        <v>5.0000000000000044E-2</v>
      </c>
    </row>
    <row r="11" spans="1:38" s="36" customFormat="1" x14ac:dyDescent="0.3">
      <c r="A11" s="46">
        <v>7</v>
      </c>
      <c r="B11" s="100" t="str">
        <f>WLs!C10</f>
        <v>Tochten J</v>
      </c>
      <c r="C11" s="130" t="s">
        <v>163</v>
      </c>
      <c r="D11" s="46" t="str">
        <f>WLs!G10</f>
        <v>n.v.t.</v>
      </c>
      <c r="E11" s="98" t="str">
        <f>Fytoplankton!AE10</f>
        <v>n.v.t.</v>
      </c>
      <c r="F11" s="94">
        <f>WLs!H10</f>
        <v>0.4</v>
      </c>
      <c r="G11" s="104">
        <f>Vegetatie!AE10</f>
        <v>0.36</v>
      </c>
      <c r="H11" s="95">
        <f>WLs!I10</f>
        <v>0.2</v>
      </c>
      <c r="I11" s="98">
        <f>Macrofauna!AE10</f>
        <v>0.17</v>
      </c>
      <c r="J11" s="94">
        <f>WLs!J10</f>
        <v>0.45</v>
      </c>
      <c r="K11" s="98">
        <f>Vis!AE10</f>
        <v>0.35</v>
      </c>
      <c r="M11" s="54"/>
      <c r="N11" s="54"/>
      <c r="P11" s="54">
        <v>0.38</v>
      </c>
      <c r="Q11" s="74">
        <v>0.4</v>
      </c>
      <c r="S11" s="54">
        <v>0.2</v>
      </c>
      <c r="T11" s="74">
        <v>0.2</v>
      </c>
      <c r="V11" s="59">
        <v>0.46</v>
      </c>
      <c r="W11" s="84">
        <v>0.46</v>
      </c>
      <c r="Y11" s="34">
        <v>7</v>
      </c>
      <c r="Z11" s="34" t="str">
        <f>WLs!C10</f>
        <v>Tochten J</v>
      </c>
      <c r="AA11" s="35">
        <f>Fytoplankton!X10</f>
        <v>0</v>
      </c>
      <c r="AB11" s="35">
        <f>Vegetatie!X10</f>
        <v>0.51</v>
      </c>
      <c r="AC11" s="35">
        <f>Macrofauna!X10</f>
        <v>0.25</v>
      </c>
      <c r="AD11" s="35">
        <f>Vis!X10</f>
        <v>0.45999999999999996</v>
      </c>
      <c r="AF11" s="34">
        <v>2</v>
      </c>
      <c r="AG11" s="34">
        <v>7</v>
      </c>
      <c r="AH11" s="34" t="str">
        <f>WLs!C10</f>
        <v>Tochten J</v>
      </c>
      <c r="AI11" s="35" t="s">
        <v>162</v>
      </c>
      <c r="AJ11" s="35">
        <f t="shared" si="0"/>
        <v>-0.10999999999999999</v>
      </c>
      <c r="AK11" s="35">
        <f t="shared" si="1"/>
        <v>-4.9999999999999989E-2</v>
      </c>
      <c r="AL11" s="35">
        <f>IF(AF11=1,V11-AD11,W11-AD11)</f>
        <v>5.5511151231257827E-17</v>
      </c>
    </row>
    <row r="12" spans="1:38" s="36" customFormat="1" x14ac:dyDescent="0.3">
      <c r="A12" s="46">
        <v>8</v>
      </c>
      <c r="B12" s="100" t="str">
        <f>WLs!C11</f>
        <v>Tochten lage afdeling NOP</v>
      </c>
      <c r="C12" s="130" t="s">
        <v>163</v>
      </c>
      <c r="D12" s="46" t="str">
        <f>WLs!G11</f>
        <v>n.v.t.</v>
      </c>
      <c r="E12" s="98" t="str">
        <f>Fytoplankton!AE11</f>
        <v>n.v.t.</v>
      </c>
      <c r="F12" s="94">
        <f>WLs!H11</f>
        <v>0.5</v>
      </c>
      <c r="G12" s="104">
        <f>Vegetatie!AE11</f>
        <v>0.53</v>
      </c>
      <c r="H12" s="95">
        <f>WLs!I11</f>
        <v>0.25</v>
      </c>
      <c r="I12" s="98">
        <f>Macrofauna!AE11</f>
        <v>0.22</v>
      </c>
      <c r="J12" s="94">
        <f>WLs!J11</f>
        <v>0.45</v>
      </c>
      <c r="K12" s="98">
        <f>Vis!AE11</f>
        <v>0.47</v>
      </c>
      <c r="M12" s="54"/>
      <c r="N12" s="54"/>
      <c r="P12" s="54">
        <v>0.56000000000000005</v>
      </c>
      <c r="Q12" s="74">
        <v>0.53</v>
      </c>
      <c r="S12" s="54">
        <v>0.25</v>
      </c>
      <c r="T12" s="74">
        <v>0.28999999999999998</v>
      </c>
      <c r="V12" s="59">
        <v>0.57999999999999996</v>
      </c>
      <c r="W12" s="84">
        <v>0.62</v>
      </c>
      <c r="Y12" s="34">
        <v>8</v>
      </c>
      <c r="Z12" s="34" t="str">
        <f>WLs!C11</f>
        <v>Tochten lage afdeling NOP</v>
      </c>
      <c r="AA12" s="35">
        <f>Fytoplankton!X11</f>
        <v>0</v>
      </c>
      <c r="AB12" s="35">
        <f>Vegetatie!X11</f>
        <v>0.56000000000000005</v>
      </c>
      <c r="AC12" s="35">
        <f>Macrofauna!X11</f>
        <v>0.25</v>
      </c>
      <c r="AD12" s="35">
        <f>Vis!X11</f>
        <v>0.5</v>
      </c>
      <c r="AF12" s="34">
        <v>2</v>
      </c>
      <c r="AG12" s="34">
        <v>8</v>
      </c>
      <c r="AH12" s="34" t="str">
        <f>WLs!C11</f>
        <v>Tochten lage afdeling NOP</v>
      </c>
      <c r="AI12" s="35" t="s">
        <v>162</v>
      </c>
      <c r="AJ12" s="35">
        <f t="shared" si="0"/>
        <v>-3.0000000000000027E-2</v>
      </c>
      <c r="AK12" s="35">
        <f t="shared" si="1"/>
        <v>3.999999999999998E-2</v>
      </c>
      <c r="AL12" s="35">
        <f t="shared" si="2"/>
        <v>0.12</v>
      </c>
    </row>
    <row r="13" spans="1:38" s="36" customFormat="1" x14ac:dyDescent="0.3">
      <c r="A13" s="46">
        <v>9</v>
      </c>
      <c r="B13" s="100" t="str">
        <f>WLs!C12</f>
        <v>Tochten hoge afdeling NOP</v>
      </c>
      <c r="C13" s="130" t="s">
        <v>163</v>
      </c>
      <c r="D13" s="46" t="str">
        <f>WLs!G12</f>
        <v>n.v.t.</v>
      </c>
      <c r="E13" s="98" t="str">
        <f>Fytoplankton!AE12</f>
        <v>n.v.t.</v>
      </c>
      <c r="F13" s="94">
        <f>WLs!H12</f>
        <v>0.6</v>
      </c>
      <c r="G13" s="104">
        <f>Vegetatie!AE12</f>
        <v>0.6</v>
      </c>
      <c r="H13" s="95">
        <f>WLs!I12</f>
        <v>0.45</v>
      </c>
      <c r="I13" s="98">
        <f>Macrofauna!AE12</f>
        <v>0.5</v>
      </c>
      <c r="J13" s="94">
        <f>WLs!J12</f>
        <v>0.5</v>
      </c>
      <c r="K13" s="98">
        <f>Vis!AE12</f>
        <v>0.57999999999999996</v>
      </c>
      <c r="M13" s="54"/>
      <c r="N13" s="54"/>
      <c r="P13" s="74">
        <v>0.68</v>
      </c>
      <c r="Q13" s="54">
        <v>0.68</v>
      </c>
      <c r="S13" s="74">
        <v>0.54</v>
      </c>
      <c r="T13" s="54">
        <v>0.53</v>
      </c>
      <c r="V13" s="84">
        <v>0.62</v>
      </c>
      <c r="W13" s="59">
        <v>0.61</v>
      </c>
      <c r="Y13" s="34">
        <v>9</v>
      </c>
      <c r="Z13" s="34" t="str">
        <f>WLs!C12</f>
        <v>Tochten hoge afdeling NOP</v>
      </c>
      <c r="AA13" s="35">
        <f>Fytoplankton!X12</f>
        <v>0</v>
      </c>
      <c r="AB13" s="35">
        <f>Vegetatie!X12</f>
        <v>0.67</v>
      </c>
      <c r="AC13" s="35">
        <f>Macrofauna!X12</f>
        <v>0.53</v>
      </c>
      <c r="AD13" s="35">
        <f>Vis!X12</f>
        <v>0.61</v>
      </c>
      <c r="AF13" s="34">
        <v>1</v>
      </c>
      <c r="AG13" s="34">
        <v>9</v>
      </c>
      <c r="AH13" s="34" t="str">
        <f>WLs!C12</f>
        <v>Tochten hoge afdeling NOP</v>
      </c>
      <c r="AI13" s="35" t="s">
        <v>162</v>
      </c>
      <c r="AJ13" s="35">
        <f t="shared" si="0"/>
        <v>1.0000000000000009E-2</v>
      </c>
      <c r="AK13" s="35">
        <f t="shared" si="1"/>
        <v>1.0000000000000009E-2</v>
      </c>
      <c r="AL13" s="35">
        <f t="shared" si="2"/>
        <v>1.0000000000000009E-2</v>
      </c>
    </row>
    <row r="14" spans="1:38" s="36" customFormat="1" x14ac:dyDescent="0.3">
      <c r="A14" s="46">
        <v>10</v>
      </c>
      <c r="B14" s="100" t="str">
        <f>WLs!C13</f>
        <v>Vaarten NOP</v>
      </c>
      <c r="C14" s="130" t="s">
        <v>165</v>
      </c>
      <c r="D14" s="95">
        <f>WLs!G13</f>
        <v>0.6</v>
      </c>
      <c r="E14" s="98">
        <f>Fytoplankton!AE13</f>
        <v>0.6</v>
      </c>
      <c r="F14" s="94">
        <f>WLs!H13</f>
        <v>0.6</v>
      </c>
      <c r="G14" s="104">
        <f>Vegetatie!AE13</f>
        <v>0.6</v>
      </c>
      <c r="H14" s="95">
        <f>WLs!I13</f>
        <v>0.6</v>
      </c>
      <c r="I14" s="98">
        <f>Macrofauna!AE13</f>
        <v>0.6</v>
      </c>
      <c r="J14" s="94">
        <f>WLs!J13</f>
        <v>0.6</v>
      </c>
      <c r="K14" s="98">
        <f>Vis!AE13</f>
        <v>0.6</v>
      </c>
      <c r="M14" s="74">
        <v>0.69</v>
      </c>
      <c r="N14" s="54">
        <v>0.63</v>
      </c>
      <c r="P14" s="74">
        <v>0.6</v>
      </c>
      <c r="Q14" s="54">
        <v>0.55000000000000004</v>
      </c>
      <c r="S14" s="74">
        <v>0.63</v>
      </c>
      <c r="T14" s="54">
        <v>0.56999999999999995</v>
      </c>
      <c r="V14" s="84">
        <v>0.72</v>
      </c>
      <c r="W14" s="59">
        <v>0.69</v>
      </c>
      <c r="Y14" s="34">
        <v>10</v>
      </c>
      <c r="Z14" s="34" t="str">
        <f>WLs!C13</f>
        <v>Vaarten NOP</v>
      </c>
      <c r="AA14" s="35">
        <f>Fytoplankton!X13</f>
        <v>0.61</v>
      </c>
      <c r="AB14" s="35">
        <f>Vegetatie!X13</f>
        <v>0.62</v>
      </c>
      <c r="AC14" s="35">
        <f>Macrofauna!X13</f>
        <v>0.7</v>
      </c>
      <c r="AD14" s="35">
        <f>Vis!X13</f>
        <v>0.75</v>
      </c>
      <c r="AF14" s="34">
        <v>1</v>
      </c>
      <c r="AG14" s="34">
        <v>10</v>
      </c>
      <c r="AH14" s="34" t="str">
        <f>WLs!C13</f>
        <v>Vaarten NOP</v>
      </c>
      <c r="AI14" s="35">
        <f>IF(AF14=1,M14-AA14,N14-AA14)</f>
        <v>7.999999999999996E-2</v>
      </c>
      <c r="AJ14" s="35">
        <f t="shared" si="0"/>
        <v>-2.0000000000000018E-2</v>
      </c>
      <c r="AK14" s="35">
        <f t="shared" si="1"/>
        <v>-6.9999999999999951E-2</v>
      </c>
      <c r="AL14" s="35">
        <f t="shared" si="2"/>
        <v>-3.0000000000000027E-2</v>
      </c>
    </row>
    <row r="15" spans="1:38" s="36" customFormat="1" x14ac:dyDescent="0.3">
      <c r="A15" s="46">
        <v>11</v>
      </c>
      <c r="B15" s="100" t="str">
        <f>WLs!C14</f>
        <v>Vaarten hoge afdeling ZOF</v>
      </c>
      <c r="C15" s="130" t="s">
        <v>165</v>
      </c>
      <c r="D15" s="95">
        <f>WLs!G14</f>
        <v>0.6</v>
      </c>
      <c r="E15" s="98">
        <f>Fytoplankton!AE14</f>
        <v>0.6</v>
      </c>
      <c r="F15" s="94">
        <f>WLs!H14</f>
        <v>0.55000000000000004</v>
      </c>
      <c r="G15" s="104">
        <f>Vegetatie!AE14</f>
        <v>0.53</v>
      </c>
      <c r="H15" s="95">
        <f>WLs!I14</f>
        <v>0.6</v>
      </c>
      <c r="I15" s="98">
        <f>Macrofauna!AE14</f>
        <v>0.6</v>
      </c>
      <c r="J15" s="94">
        <f>WLs!J14</f>
        <v>0.55000000000000004</v>
      </c>
      <c r="K15" s="98">
        <f>Vis!AE14</f>
        <v>0.56000000000000005</v>
      </c>
      <c r="M15" s="54">
        <v>0.63</v>
      </c>
      <c r="N15" s="74">
        <v>0.63</v>
      </c>
      <c r="P15" s="54">
        <v>0.56999999999999995</v>
      </c>
      <c r="Q15" s="74">
        <v>0.56000000000000005</v>
      </c>
      <c r="S15" s="54">
        <v>0.56999999999999995</v>
      </c>
      <c r="T15" s="74">
        <v>0.57999999999999996</v>
      </c>
      <c r="V15" s="59">
        <v>0.54</v>
      </c>
      <c r="W15" s="84">
        <v>0.53</v>
      </c>
      <c r="Y15" s="34">
        <v>11</v>
      </c>
      <c r="Z15" s="34" t="str">
        <f>WLs!C14</f>
        <v>Vaarten hoge afdeling ZOF</v>
      </c>
      <c r="AA15" s="35">
        <f>Fytoplankton!X14</f>
        <v>0.72</v>
      </c>
      <c r="AB15" s="35">
        <f>Vegetatie!X14</f>
        <v>0.56000000000000005</v>
      </c>
      <c r="AC15" s="35">
        <f>Macrofauna!X14</f>
        <v>0.69</v>
      </c>
      <c r="AD15" s="35">
        <f>Vis!X14</f>
        <v>0.59</v>
      </c>
      <c r="AF15" s="34">
        <v>2</v>
      </c>
      <c r="AG15" s="34">
        <v>11</v>
      </c>
      <c r="AH15" s="2" t="str">
        <f>WLs!C14</f>
        <v>Vaarten hoge afdeling ZOF</v>
      </c>
      <c r="AI15" s="35">
        <f t="shared" ref="AI15:AI24" si="3">IF(AF15=1,M15-AA15,N15-AA15)</f>
        <v>-8.9999999999999969E-2</v>
      </c>
      <c r="AJ15" s="35">
        <f t="shared" si="0"/>
        <v>0</v>
      </c>
      <c r="AK15" s="35">
        <f t="shared" si="1"/>
        <v>-0.10999999999999999</v>
      </c>
      <c r="AL15" s="35">
        <f t="shared" si="2"/>
        <v>-5.9999999999999942E-2</v>
      </c>
    </row>
    <row r="16" spans="1:38" s="36" customFormat="1" x14ac:dyDescent="0.3">
      <c r="A16" s="46">
        <v>12</v>
      </c>
      <c r="B16" s="100" t="str">
        <f>WLs!C15</f>
        <v>Vaarten lage afdeling ZOF</v>
      </c>
      <c r="C16" s="130" t="s">
        <v>165</v>
      </c>
      <c r="D16" s="95">
        <f>WLs!G15</f>
        <v>0.5</v>
      </c>
      <c r="E16" s="98">
        <f>Fytoplankton!AE15</f>
        <v>0.53</v>
      </c>
      <c r="F16" s="94">
        <f>WLs!H15</f>
        <v>0.5</v>
      </c>
      <c r="G16" s="104">
        <f>Vegetatie!AE15</f>
        <v>0.5</v>
      </c>
      <c r="H16" s="95">
        <f>WLs!I15</f>
        <v>0.5</v>
      </c>
      <c r="I16" s="98">
        <f>Macrofauna!AE15</f>
        <v>0.54</v>
      </c>
      <c r="J16" s="94">
        <f>WLs!J15</f>
        <v>0.5</v>
      </c>
      <c r="K16" s="98">
        <f>Vis!AE15</f>
        <v>0.47</v>
      </c>
      <c r="M16" s="74">
        <v>0.6</v>
      </c>
      <c r="N16" s="54">
        <v>0.52</v>
      </c>
      <c r="P16" s="74">
        <v>0.37</v>
      </c>
      <c r="Q16" s="54">
        <v>0.34</v>
      </c>
      <c r="S16" s="74">
        <v>0.48</v>
      </c>
      <c r="T16" s="54">
        <v>0.46</v>
      </c>
      <c r="V16" s="84">
        <v>0.44</v>
      </c>
      <c r="W16" s="59">
        <v>0.41</v>
      </c>
      <c r="Y16" s="34">
        <v>12</v>
      </c>
      <c r="Z16" s="34" t="str">
        <f>WLs!C15</f>
        <v>Vaarten lage afdeling ZOF</v>
      </c>
      <c r="AA16" s="35">
        <f>Fytoplankton!X15</f>
        <v>0.56000000000000005</v>
      </c>
      <c r="AB16" s="35">
        <f>Vegetatie!X15</f>
        <v>0.53</v>
      </c>
      <c r="AC16" s="35">
        <f>Macrofauna!X15</f>
        <v>0.56999999999999995</v>
      </c>
      <c r="AD16" s="35">
        <f>Vis!X15</f>
        <v>0.5</v>
      </c>
      <c r="AF16" s="34">
        <v>1</v>
      </c>
      <c r="AG16" s="34">
        <v>12</v>
      </c>
      <c r="AH16" s="2" t="str">
        <f>WLs!C15</f>
        <v>Vaarten lage afdeling ZOF</v>
      </c>
      <c r="AI16" s="35">
        <f t="shared" si="3"/>
        <v>3.9999999999999925E-2</v>
      </c>
      <c r="AJ16" s="35">
        <f t="shared" si="0"/>
        <v>-0.16000000000000003</v>
      </c>
      <c r="AK16" s="35">
        <f t="shared" si="1"/>
        <v>-8.9999999999999969E-2</v>
      </c>
      <c r="AL16" s="35">
        <f t="shared" si="2"/>
        <v>-0.06</v>
      </c>
    </row>
    <row r="17" spans="1:38" s="36" customFormat="1" x14ac:dyDescent="0.3">
      <c r="A17" s="46">
        <v>13</v>
      </c>
      <c r="B17" s="100" t="str">
        <f>WLs!C16</f>
        <v>Bovenwater</v>
      </c>
      <c r="C17" s="130" t="s">
        <v>166</v>
      </c>
      <c r="D17" s="95">
        <f>WLs!G16</f>
        <v>0.2</v>
      </c>
      <c r="E17" s="98">
        <f>Fytoplankton!AE16</f>
        <v>0.23</v>
      </c>
      <c r="F17" s="94">
        <f>WLs!H16</f>
        <v>0.55000000000000004</v>
      </c>
      <c r="G17" s="104">
        <f>Vegetatie!AE16</f>
        <v>0.52</v>
      </c>
      <c r="H17" s="95">
        <f>WLs!I16</f>
        <v>0.4</v>
      </c>
      <c r="I17" s="98">
        <f>Macrofauna!AE16</f>
        <v>0.41</v>
      </c>
      <c r="J17" s="94">
        <f>WLs!J16</f>
        <v>0.3</v>
      </c>
      <c r="K17" s="98">
        <f>Vis!AE16</f>
        <v>0.31</v>
      </c>
      <c r="M17" s="54">
        <v>0.22</v>
      </c>
      <c r="N17" s="74">
        <v>0.22</v>
      </c>
      <c r="P17" s="54">
        <v>0.68</v>
      </c>
      <c r="Q17" s="74">
        <v>0.57999999999999996</v>
      </c>
      <c r="S17" s="54">
        <v>0.44</v>
      </c>
      <c r="T17" s="74">
        <v>0.43</v>
      </c>
      <c r="V17" s="59">
        <v>0.35</v>
      </c>
      <c r="W17" s="84">
        <v>0.39</v>
      </c>
      <c r="Y17" s="34">
        <v>13</v>
      </c>
      <c r="Z17" s="34" t="str">
        <f>WLs!C16</f>
        <v>Bovenwater</v>
      </c>
      <c r="AA17" s="35">
        <f>Fytoplankton!X16</f>
        <v>0.26</v>
      </c>
      <c r="AB17" s="35">
        <f>Vegetatie!X16</f>
        <v>0.55000000000000004</v>
      </c>
      <c r="AC17" s="35">
        <f>Macrofauna!X16</f>
        <v>0.44</v>
      </c>
      <c r="AD17" s="35">
        <v>0.34</v>
      </c>
      <c r="AF17" s="34">
        <v>2</v>
      </c>
      <c r="AG17" s="34">
        <v>13</v>
      </c>
      <c r="AH17" s="34" t="str">
        <f>WLs!C16</f>
        <v>Bovenwater</v>
      </c>
      <c r="AI17" s="35">
        <f t="shared" si="3"/>
        <v>-4.0000000000000008E-2</v>
      </c>
      <c r="AJ17" s="35">
        <f t="shared" si="0"/>
        <v>2.9999999999999916E-2</v>
      </c>
      <c r="AK17" s="35">
        <f t="shared" si="1"/>
        <v>-1.0000000000000009E-2</v>
      </c>
      <c r="AL17" s="35">
        <f t="shared" si="2"/>
        <v>4.9999999999999989E-2</v>
      </c>
    </row>
    <row r="18" spans="1:38" s="36" customFormat="1" x14ac:dyDescent="0.3">
      <c r="A18" s="46">
        <v>14</v>
      </c>
      <c r="B18" s="100" t="str">
        <f>WLs!C17</f>
        <v>Harderbroek (oude deel)</v>
      </c>
      <c r="C18" s="130" t="s">
        <v>166</v>
      </c>
      <c r="D18" s="95">
        <f>WLs!G17</f>
        <v>0.5</v>
      </c>
      <c r="E18" s="98">
        <f>Fytoplankton!AE17</f>
        <v>0.5</v>
      </c>
      <c r="F18" s="94">
        <f>WLs!H17</f>
        <v>0.5</v>
      </c>
      <c r="G18" s="104">
        <f>Vegetatie!AE17</f>
        <v>0.5</v>
      </c>
      <c r="H18" s="95">
        <f>WLs!I17</f>
        <v>0.4</v>
      </c>
      <c r="I18" s="98">
        <f>Macrofauna!AE17</f>
        <v>0.4</v>
      </c>
      <c r="J18" s="94">
        <f>WLs!J17</f>
        <v>0.4</v>
      </c>
      <c r="K18" s="98">
        <f>Vis!AE17</f>
        <v>0.4</v>
      </c>
      <c r="M18" s="54">
        <v>0.13</v>
      </c>
      <c r="N18" s="74">
        <v>7.0000000000000007E-2</v>
      </c>
      <c r="P18" s="54">
        <v>0.24</v>
      </c>
      <c r="Q18" s="74">
        <v>0.43</v>
      </c>
      <c r="S18" s="54">
        <v>0.39</v>
      </c>
      <c r="T18" s="74">
        <v>0.51</v>
      </c>
      <c r="V18" s="59">
        <v>0.15</v>
      </c>
      <c r="W18" s="84">
        <v>0.41</v>
      </c>
      <c r="Y18" s="34">
        <v>14</v>
      </c>
      <c r="Z18" s="34" t="str">
        <f>WLs!C17</f>
        <v>Harderbroek (oude deel)</v>
      </c>
      <c r="AA18" s="35">
        <f>Fytoplankton!X17</f>
        <v>0.5</v>
      </c>
      <c r="AB18" s="35">
        <f>Vegetatie!X17</f>
        <v>0.45</v>
      </c>
      <c r="AC18" s="35">
        <f>Macrofauna!X17</f>
        <v>0.4</v>
      </c>
      <c r="AD18" s="35">
        <f>Vis!X17</f>
        <v>0.37</v>
      </c>
      <c r="AF18" s="34">
        <v>2</v>
      </c>
      <c r="AG18" s="34">
        <v>14</v>
      </c>
      <c r="AH18" s="34" t="str">
        <f>WLs!C17</f>
        <v>Harderbroek (oude deel)</v>
      </c>
      <c r="AI18" s="35">
        <f t="shared" si="3"/>
        <v>-0.43</v>
      </c>
      <c r="AJ18" s="35">
        <f t="shared" si="0"/>
        <v>-2.0000000000000018E-2</v>
      </c>
      <c r="AK18" s="35">
        <f t="shared" si="1"/>
        <v>0.10999999999999999</v>
      </c>
      <c r="AL18" s="35">
        <f t="shared" si="2"/>
        <v>3.999999999999998E-2</v>
      </c>
    </row>
    <row r="19" spans="1:38" s="36" customFormat="1" x14ac:dyDescent="0.3">
      <c r="A19" s="46">
        <v>15</v>
      </c>
      <c r="B19" s="100" t="str">
        <f>WLs!C18</f>
        <v>Harderbroek Roerdomp</v>
      </c>
      <c r="C19" s="130" t="s">
        <v>166</v>
      </c>
      <c r="D19" s="95">
        <f>WLs!G18</f>
        <v>0.2</v>
      </c>
      <c r="E19" s="98">
        <f>Fytoplankton!AE18</f>
        <v>0.2</v>
      </c>
      <c r="F19" s="94">
        <f>WLs!H18</f>
        <v>0.4</v>
      </c>
      <c r="G19" s="104">
        <f>Vegetatie!AE18</f>
        <v>0.4</v>
      </c>
      <c r="H19" s="95">
        <f>WLs!I18</f>
        <v>0.3</v>
      </c>
      <c r="I19" s="98">
        <f>Macrofauna!AE18</f>
        <v>0.3</v>
      </c>
      <c r="J19" s="94">
        <f>WLs!J18</f>
        <v>0.1</v>
      </c>
      <c r="K19" s="98">
        <f>Vis!AE18</f>
        <v>0.1</v>
      </c>
      <c r="M19" s="54">
        <v>0.13</v>
      </c>
      <c r="N19" s="74">
        <v>7.0000000000000007E-2</v>
      </c>
      <c r="P19" s="54">
        <v>0.35</v>
      </c>
      <c r="Q19" s="74">
        <v>0.32</v>
      </c>
      <c r="S19" s="54">
        <v>0.34</v>
      </c>
      <c r="T19" s="74">
        <v>0.24</v>
      </c>
      <c r="V19" s="59">
        <v>0.17</v>
      </c>
      <c r="W19" s="84">
        <v>0.08</v>
      </c>
      <c r="Y19" s="34">
        <v>15</v>
      </c>
      <c r="Z19" s="34" t="str">
        <f>WLs!C18</f>
        <v>Harderbroek Roerdomp</v>
      </c>
      <c r="AA19" s="35">
        <f>Fytoplankton!X18</f>
        <v>0.2</v>
      </c>
      <c r="AB19" s="35">
        <f>Vegetatie!X18</f>
        <v>0.39</v>
      </c>
      <c r="AC19" s="35">
        <f>Macrofauna!X18</f>
        <v>0.28999999999999998</v>
      </c>
      <c r="AD19" s="35">
        <f>Vis!X18</f>
        <v>0.16</v>
      </c>
      <c r="AF19" s="34">
        <v>2</v>
      </c>
      <c r="AG19" s="34">
        <v>15</v>
      </c>
      <c r="AH19" s="34" t="str">
        <f>WLs!C18</f>
        <v>Harderbroek Roerdomp</v>
      </c>
      <c r="AI19" s="35">
        <f t="shared" si="3"/>
        <v>-0.13</v>
      </c>
      <c r="AJ19" s="35">
        <f t="shared" si="0"/>
        <v>-7.0000000000000007E-2</v>
      </c>
      <c r="AK19" s="35">
        <f t="shared" si="1"/>
        <v>-4.9999999999999989E-2</v>
      </c>
      <c r="AL19" s="35">
        <f t="shared" si="2"/>
        <v>-0.08</v>
      </c>
    </row>
    <row r="20" spans="1:38" s="36" customFormat="1" x14ac:dyDescent="0.3">
      <c r="A20" s="46">
        <v>16</v>
      </c>
      <c r="B20" s="100" t="str">
        <f>WLs!C19</f>
        <v>Lepelaarplassen</v>
      </c>
      <c r="C20" s="130" t="s">
        <v>166</v>
      </c>
      <c r="D20" s="95">
        <f>WLs!G19</f>
        <v>0.5</v>
      </c>
      <c r="E20" s="98">
        <f>Fytoplankton!AE19</f>
        <v>0.5</v>
      </c>
      <c r="F20" s="94">
        <f>WLs!H19</f>
        <v>0.5</v>
      </c>
      <c r="G20" s="104">
        <f>Vegetatie!AE19</f>
        <v>0.5</v>
      </c>
      <c r="H20" s="95">
        <f>WLs!I19</f>
        <v>0.4</v>
      </c>
      <c r="I20" s="98">
        <f>Macrofauna!AE19</f>
        <v>0.4</v>
      </c>
      <c r="J20" s="94">
        <f>WLs!J19</f>
        <v>0.4</v>
      </c>
      <c r="K20" s="98">
        <f>Vis!AE19</f>
        <v>0.4</v>
      </c>
      <c r="M20" s="74">
        <v>0.8</v>
      </c>
      <c r="N20" s="54">
        <v>0.68</v>
      </c>
      <c r="P20" s="74">
        <v>0.6</v>
      </c>
      <c r="Q20" s="54">
        <v>0.46</v>
      </c>
      <c r="S20" s="74">
        <v>0.43</v>
      </c>
      <c r="T20" s="54">
        <v>0.33</v>
      </c>
      <c r="V20" s="84">
        <v>0.62</v>
      </c>
      <c r="W20" s="59">
        <v>0.4</v>
      </c>
      <c r="Y20" s="34">
        <v>16</v>
      </c>
      <c r="Z20" s="34" t="str">
        <f>WLs!C19</f>
        <v>Lepelaarplassen</v>
      </c>
      <c r="AA20" s="35">
        <f>Fytoplankton!X19</f>
        <v>0.59</v>
      </c>
      <c r="AB20" s="35">
        <f>Vegetatie!X19</f>
        <v>0.52</v>
      </c>
      <c r="AC20" s="35">
        <f>Macrofauna!X19</f>
        <v>0.44</v>
      </c>
      <c r="AD20" s="35">
        <f>Vis!X19</f>
        <v>0.62</v>
      </c>
      <c r="AF20" s="34">
        <v>1</v>
      </c>
      <c r="AG20" s="34">
        <v>16</v>
      </c>
      <c r="AH20" s="34" t="str">
        <f>WLs!C19</f>
        <v>Lepelaarplassen</v>
      </c>
      <c r="AI20" s="35">
        <f t="shared" si="3"/>
        <v>0.21000000000000008</v>
      </c>
      <c r="AJ20" s="35">
        <f t="shared" si="0"/>
        <v>7.999999999999996E-2</v>
      </c>
      <c r="AK20" s="35">
        <f t="shared" si="1"/>
        <v>-1.0000000000000009E-2</v>
      </c>
      <c r="AL20" s="35">
        <f t="shared" si="2"/>
        <v>0</v>
      </c>
    </row>
    <row r="21" spans="1:38" s="36" customFormat="1" x14ac:dyDescent="0.3">
      <c r="A21" s="46">
        <v>17</v>
      </c>
      <c r="B21" s="100" t="str">
        <f>WLs!C20</f>
        <v>Noorderplassen</v>
      </c>
      <c r="C21" s="130" t="s">
        <v>167</v>
      </c>
      <c r="D21" s="95">
        <f>WLs!G20</f>
        <v>0.6</v>
      </c>
      <c r="E21" s="98">
        <f>Fytoplankton!AE20</f>
        <v>0.6</v>
      </c>
      <c r="F21" s="94">
        <f>WLs!H20</f>
        <v>0.6</v>
      </c>
      <c r="G21" s="104">
        <f>Vegetatie!AE20</f>
        <v>0.48</v>
      </c>
      <c r="H21" s="95">
        <f>WLs!I20</f>
        <v>0.45</v>
      </c>
      <c r="I21" s="98">
        <f>Macrofauna!AE20</f>
        <v>0.4</v>
      </c>
      <c r="J21" s="94">
        <f>WLs!J20</f>
        <v>0.5</v>
      </c>
      <c r="K21" s="98">
        <f>Vis!AE20</f>
        <v>0.56999999999999995</v>
      </c>
      <c r="M21" s="74">
        <v>0.75</v>
      </c>
      <c r="N21" s="54">
        <v>0.67</v>
      </c>
      <c r="P21" s="74">
        <v>0.49</v>
      </c>
      <c r="Q21" s="54">
        <v>0.42</v>
      </c>
      <c r="S21" s="74">
        <v>0.38</v>
      </c>
      <c r="T21" s="54">
        <v>0.37</v>
      </c>
      <c r="V21" s="84">
        <v>0.4</v>
      </c>
      <c r="W21" s="59">
        <v>0.33</v>
      </c>
      <c r="Y21" s="34">
        <v>17</v>
      </c>
      <c r="Z21" s="34" t="str">
        <f>WLs!C20</f>
        <v>Noorderplassen</v>
      </c>
      <c r="AA21" s="35">
        <f>Fytoplankton!X20</f>
        <v>0.85</v>
      </c>
      <c r="AB21" s="35">
        <f>Vegetatie!X20</f>
        <v>0.51</v>
      </c>
      <c r="AC21" s="35">
        <f>Macrofauna!X20</f>
        <v>0.43</v>
      </c>
      <c r="AD21" s="35">
        <f>Vis!X20</f>
        <v>0.6</v>
      </c>
      <c r="AF21" s="34">
        <v>1</v>
      </c>
      <c r="AG21" s="34">
        <v>17</v>
      </c>
      <c r="AH21" s="34" t="str">
        <f>WLs!C20</f>
        <v>Noorderplassen</v>
      </c>
      <c r="AI21" s="35">
        <f t="shared" si="3"/>
        <v>-9.9999999999999978E-2</v>
      </c>
      <c r="AJ21" s="35">
        <f t="shared" si="0"/>
        <v>-2.0000000000000018E-2</v>
      </c>
      <c r="AK21" s="35">
        <f t="shared" si="1"/>
        <v>-4.9999999999999989E-2</v>
      </c>
      <c r="AL21" s="35">
        <f t="shared" si="2"/>
        <v>-0.19999999999999996</v>
      </c>
    </row>
    <row r="22" spans="1:38" s="36" customFormat="1" x14ac:dyDescent="0.3">
      <c r="A22" s="46">
        <v>18</v>
      </c>
      <c r="B22" s="100" t="str">
        <f>WLs!C21</f>
        <v>Oostvaardersplassen</v>
      </c>
      <c r="C22" s="130" t="s">
        <v>166</v>
      </c>
      <c r="D22" s="95">
        <f>WLs!G21</f>
        <v>0.1</v>
      </c>
      <c r="E22" s="98">
        <f>Fytoplankton!AE21</f>
        <v>0.1</v>
      </c>
      <c r="F22" s="94">
        <f>WLs!H21</f>
        <v>0.1</v>
      </c>
      <c r="G22" s="104">
        <f>Vegetatie!AE21</f>
        <v>0.1</v>
      </c>
      <c r="H22" s="95">
        <f>WLs!I21</f>
        <v>0.3</v>
      </c>
      <c r="I22" s="98">
        <f>Macrofauna!AE21</f>
        <v>0.3</v>
      </c>
      <c r="J22" s="94">
        <f>WLs!J21</f>
        <v>0.01</v>
      </c>
      <c r="K22" s="98">
        <f>Vis!AE21</f>
        <v>0.01</v>
      </c>
      <c r="M22" s="74">
        <v>0.22</v>
      </c>
      <c r="N22" s="54">
        <v>0.19</v>
      </c>
      <c r="P22" s="74">
        <v>0.25</v>
      </c>
      <c r="Q22" s="54">
        <v>0.27</v>
      </c>
      <c r="S22" s="74">
        <v>0.3</v>
      </c>
      <c r="T22" s="54">
        <v>0.25</v>
      </c>
      <c r="V22" s="59"/>
      <c r="W22" s="59"/>
      <c r="Y22" s="34">
        <v>18</v>
      </c>
      <c r="Z22" s="34" t="str">
        <f>WLs!C21</f>
        <v>Oostvaardersplassen</v>
      </c>
      <c r="AA22" s="35">
        <f>Fytoplankton!X21</f>
        <v>0.11</v>
      </c>
      <c r="AB22" s="35">
        <f>Vegetatie!X21</f>
        <v>0.08</v>
      </c>
      <c r="AC22" s="35">
        <f>Macrofauna!X21</f>
        <v>0.33</v>
      </c>
      <c r="AD22" s="35">
        <f>Vis!X21</f>
        <v>0</v>
      </c>
      <c r="AF22" s="34">
        <v>1</v>
      </c>
      <c r="AG22" s="34">
        <v>18</v>
      </c>
      <c r="AH22" s="34" t="str">
        <f>WLs!C21</f>
        <v>Oostvaardersplassen</v>
      </c>
      <c r="AI22" s="35">
        <f t="shared" si="3"/>
        <v>0.11</v>
      </c>
      <c r="AJ22" s="35">
        <f t="shared" si="0"/>
        <v>0.16999999999999998</v>
      </c>
      <c r="AK22" s="35">
        <f t="shared" si="1"/>
        <v>-3.0000000000000027E-2</v>
      </c>
      <c r="AL22" s="35">
        <f t="shared" si="2"/>
        <v>0</v>
      </c>
    </row>
    <row r="23" spans="1:38" s="36" customFormat="1" x14ac:dyDescent="0.3">
      <c r="A23" s="46">
        <v>19</v>
      </c>
      <c r="B23" s="100" t="str">
        <f>WLs!C22</f>
        <v>Vollenhover- en Kadoelermeer</v>
      </c>
      <c r="C23" s="130" t="s">
        <v>166</v>
      </c>
      <c r="D23" s="95">
        <f>WLs!G22</f>
        <v>0.6</v>
      </c>
      <c r="E23" s="98">
        <f>Fytoplankton!AE22</f>
        <v>0.6</v>
      </c>
      <c r="F23" s="94">
        <f>WLs!H22</f>
        <v>0.6</v>
      </c>
      <c r="G23" s="104">
        <f>Vegetatie!AE22</f>
        <v>0.6</v>
      </c>
      <c r="H23" s="95">
        <f>WLs!I22</f>
        <v>0.4</v>
      </c>
      <c r="I23" s="98">
        <f>Macrofauna!AE22</f>
        <v>0.4</v>
      </c>
      <c r="J23" s="94">
        <f>WLs!J22</f>
        <v>0.35</v>
      </c>
      <c r="K23" s="98">
        <f>Vis!AE22</f>
        <v>0.35</v>
      </c>
      <c r="M23" s="54">
        <v>0.97</v>
      </c>
      <c r="N23" s="74">
        <v>0.92</v>
      </c>
      <c r="P23" s="54">
        <v>0.71</v>
      </c>
      <c r="Q23" s="74">
        <v>0.65</v>
      </c>
      <c r="S23" s="54">
        <v>0.49</v>
      </c>
      <c r="T23" s="74">
        <v>0.49</v>
      </c>
      <c r="V23" s="59"/>
      <c r="W23" s="59"/>
      <c r="Y23" s="34">
        <v>19</v>
      </c>
      <c r="Z23" s="34" t="str">
        <f>WLs!C22</f>
        <v>Vollenhover- en Kadoelermeer</v>
      </c>
      <c r="AA23" s="35">
        <f>Fytoplankton!X22</f>
        <v>0.92</v>
      </c>
      <c r="AB23" s="35">
        <f>Vegetatie!X22</f>
        <v>0.71</v>
      </c>
      <c r="AC23" s="35">
        <f>Macrofauna!X22</f>
        <v>0.44</v>
      </c>
      <c r="AD23" s="35">
        <f>Vis!X22</f>
        <v>0.39</v>
      </c>
      <c r="AF23" s="34">
        <v>2</v>
      </c>
      <c r="AG23" s="34">
        <v>19</v>
      </c>
      <c r="AH23" s="34" t="str">
        <f>WLs!C22</f>
        <v>Vollenhover- en Kadoelermeer</v>
      </c>
      <c r="AI23" s="35">
        <f t="shared" si="3"/>
        <v>0</v>
      </c>
      <c r="AJ23" s="35">
        <f t="shared" si="0"/>
        <v>-5.9999999999999942E-2</v>
      </c>
      <c r="AK23" s="35">
        <f t="shared" si="1"/>
        <v>4.9999999999999989E-2</v>
      </c>
      <c r="AL23" s="35">
        <f t="shared" si="2"/>
        <v>-0.39</v>
      </c>
    </row>
    <row r="24" spans="1:38" s="36" customFormat="1" ht="15" thickBot="1" x14ac:dyDescent="0.35">
      <c r="A24" s="47">
        <v>20</v>
      </c>
      <c r="B24" s="131" t="str">
        <f>WLs!C23</f>
        <v>Weerwater</v>
      </c>
      <c r="C24" s="132" t="s">
        <v>167</v>
      </c>
      <c r="D24" s="96">
        <f>WLs!G23</f>
        <v>0.6</v>
      </c>
      <c r="E24" s="99">
        <f>Fytoplankton!AE23</f>
        <v>0.6</v>
      </c>
      <c r="F24" s="97">
        <f>WLs!H23</f>
        <v>0.6</v>
      </c>
      <c r="G24" s="105">
        <f>Vegetatie!AE23</f>
        <v>0.54</v>
      </c>
      <c r="H24" s="96">
        <f>WLs!I23</f>
        <v>0.5</v>
      </c>
      <c r="I24" s="99">
        <f>Macrofauna!AE23</f>
        <v>0.42</v>
      </c>
      <c r="J24" s="97">
        <f>WLs!J23</f>
        <v>0.5</v>
      </c>
      <c r="K24" s="99">
        <f>Vis!AE23</f>
        <v>0.5</v>
      </c>
      <c r="M24" s="74">
        <v>0.83</v>
      </c>
      <c r="N24" s="54">
        <v>0.76</v>
      </c>
      <c r="P24" s="74">
        <v>0.55000000000000004</v>
      </c>
      <c r="Q24" s="54">
        <v>0.49</v>
      </c>
      <c r="S24" s="74">
        <v>0.48</v>
      </c>
      <c r="T24" s="54">
        <v>0.48</v>
      </c>
      <c r="V24" s="84">
        <v>0.63</v>
      </c>
      <c r="W24" s="59">
        <v>0.53</v>
      </c>
      <c r="Y24" s="34">
        <v>20</v>
      </c>
      <c r="Z24" s="34" t="str">
        <f>WLs!C23</f>
        <v>Weerwater</v>
      </c>
      <c r="AA24" s="35">
        <f>Fytoplankton!X23</f>
        <v>0.75</v>
      </c>
      <c r="AB24" s="35">
        <f>Vegetatie!X23</f>
        <v>0.57000000000000006</v>
      </c>
      <c r="AC24" s="35">
        <f>Macrofauna!X23</f>
        <v>0.45</v>
      </c>
      <c r="AD24" s="35">
        <f>Vis!X23</f>
        <v>0.49</v>
      </c>
      <c r="AF24" s="34">
        <v>1</v>
      </c>
      <c r="AG24" s="34">
        <v>20</v>
      </c>
      <c r="AH24" s="34" t="str">
        <f>WLs!C23</f>
        <v>Weerwater</v>
      </c>
      <c r="AI24" s="35">
        <f t="shared" si="3"/>
        <v>7.999999999999996E-2</v>
      </c>
      <c r="AJ24" s="35">
        <f t="shared" si="0"/>
        <v>-2.0000000000000018E-2</v>
      </c>
      <c r="AK24" s="35">
        <f t="shared" si="1"/>
        <v>2.9999999999999971E-2</v>
      </c>
      <c r="AL24" s="35">
        <f t="shared" si="2"/>
        <v>0.14000000000000001</v>
      </c>
    </row>
    <row r="26" spans="1:38" x14ac:dyDescent="0.3">
      <c r="A26" s="106"/>
      <c r="B26" s="36" t="s">
        <v>168</v>
      </c>
    </row>
    <row r="28" spans="1:38" ht="26.1" customHeight="1" x14ac:dyDescent="0.3"/>
  </sheetData>
  <mergeCells count="36">
    <mergeCell ref="AI2:AI4"/>
    <mergeCell ref="AJ2:AJ4"/>
    <mergeCell ref="AK2:AK4"/>
    <mergeCell ref="AL2:AL4"/>
    <mergeCell ref="M3:M4"/>
    <mergeCell ref="N3:N4"/>
    <mergeCell ref="P3:P4"/>
    <mergeCell ref="Q3:Q4"/>
    <mergeCell ref="S3:S4"/>
    <mergeCell ref="T3:T4"/>
    <mergeCell ref="V3:V4"/>
    <mergeCell ref="W3:W4"/>
    <mergeCell ref="M2:N2"/>
    <mergeCell ref="P2:Q2"/>
    <mergeCell ref="S2:T2"/>
    <mergeCell ref="V2:W2"/>
    <mergeCell ref="Y2:Y4"/>
    <mergeCell ref="Z2:Z4"/>
    <mergeCell ref="AF2:AF4"/>
    <mergeCell ref="AG2:AG4"/>
    <mergeCell ref="AH2:AH4"/>
    <mergeCell ref="AA2:AA4"/>
    <mergeCell ref="AB2:AB4"/>
    <mergeCell ref="AC2:AC4"/>
    <mergeCell ref="AD2:AD4"/>
    <mergeCell ref="J2:K2"/>
    <mergeCell ref="A2:A4"/>
    <mergeCell ref="B2:B4"/>
    <mergeCell ref="C2:C4"/>
    <mergeCell ref="D2:E2"/>
    <mergeCell ref="F2:G2"/>
    <mergeCell ref="H2:I2"/>
    <mergeCell ref="D3:E3"/>
    <mergeCell ref="F3:G3"/>
    <mergeCell ref="H3:I3"/>
    <mergeCell ref="J3:K3"/>
  </mergeCells>
  <conditionalFormatting sqref="E14:E24">
    <cfRule type="cellIs" dxfId="54" priority="7" operator="notEqual">
      <formula>D14</formula>
    </cfRule>
  </conditionalFormatting>
  <conditionalFormatting sqref="G5:G24">
    <cfRule type="cellIs" dxfId="53" priority="4" operator="notEqual">
      <formula>F5</formula>
    </cfRule>
  </conditionalFormatting>
  <conditionalFormatting sqref="I5:I24">
    <cfRule type="cellIs" dxfId="52" priority="5" operator="notEqual">
      <formula>H5</formula>
    </cfRule>
  </conditionalFormatting>
  <conditionalFormatting sqref="K5:K24">
    <cfRule type="cellIs" dxfId="51" priority="6" operator="notEqual">
      <formula>J5</formula>
    </cfRule>
  </conditionalFormatting>
  <conditionalFormatting sqref="AJ5:AL6 AJ9:AL13 AI14:AL24">
    <cfRule type="cellIs" dxfId="50" priority="1" operator="equal">
      <formula>0</formula>
    </cfRule>
    <cfRule type="cellIs" dxfId="49" priority="2" operator="lessThan">
      <formula>0</formula>
    </cfRule>
    <cfRule type="cellIs" dxfId="48" priority="3"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C420-FA0A-419F-8B9F-FCBA784FB971}">
  <dimension ref="A1:V25"/>
  <sheetViews>
    <sheetView workbookViewId="0"/>
  </sheetViews>
  <sheetFormatPr defaultRowHeight="14.4" x14ac:dyDescent="0.3"/>
  <cols>
    <col min="1" max="1" width="3.21875" bestFit="1" customWidth="1"/>
    <col min="2" max="2" width="26.77734375" customWidth="1"/>
    <col min="3" max="3" width="28" bestFit="1" customWidth="1"/>
    <col min="4" max="4" width="5" customWidth="1"/>
    <col min="5" max="5" width="38.44140625" customWidth="1"/>
    <col min="6" max="6" width="14.5546875" customWidth="1"/>
    <col min="7" max="10" width="14" customWidth="1"/>
    <col min="11" max="15" width="8.77734375" customWidth="1"/>
    <col min="16" max="19" width="11" customWidth="1"/>
    <col min="20" max="20" width="24.77734375" customWidth="1"/>
    <col min="21" max="21" width="27.44140625" bestFit="1" customWidth="1"/>
    <col min="22" max="22" width="27.44140625" customWidth="1"/>
  </cols>
  <sheetData>
    <row r="1" spans="1:22" ht="18" x14ac:dyDescent="0.35">
      <c r="A1" s="5" t="s">
        <v>169</v>
      </c>
      <c r="G1" t="s">
        <v>160</v>
      </c>
      <c r="H1" t="s">
        <v>160</v>
      </c>
      <c r="I1" t="s">
        <v>160</v>
      </c>
      <c r="J1" t="s">
        <v>160</v>
      </c>
      <c r="K1" t="s">
        <v>80</v>
      </c>
      <c r="L1" t="s">
        <v>80</v>
      </c>
      <c r="M1" t="s">
        <v>80</v>
      </c>
      <c r="N1" t="s">
        <v>80</v>
      </c>
      <c r="O1" t="s">
        <v>80</v>
      </c>
      <c r="P1" t="s">
        <v>80</v>
      </c>
      <c r="Q1" t="s">
        <v>80</v>
      </c>
      <c r="R1" t="s">
        <v>80</v>
      </c>
      <c r="S1" t="s">
        <v>80</v>
      </c>
      <c r="T1" s="5"/>
    </row>
    <row r="2" spans="1:22" x14ac:dyDescent="0.3">
      <c r="B2">
        <v>2</v>
      </c>
      <c r="C2">
        <v>3</v>
      </c>
      <c r="D2">
        <v>4</v>
      </c>
      <c r="E2">
        <v>5</v>
      </c>
      <c r="F2">
        <v>6</v>
      </c>
      <c r="G2">
        <v>7</v>
      </c>
      <c r="H2">
        <v>8</v>
      </c>
      <c r="I2">
        <v>9</v>
      </c>
      <c r="J2">
        <v>10</v>
      </c>
      <c r="K2">
        <v>11</v>
      </c>
      <c r="L2">
        <v>12</v>
      </c>
      <c r="M2">
        <v>13</v>
      </c>
      <c r="N2">
        <v>14</v>
      </c>
      <c r="O2">
        <v>15</v>
      </c>
      <c r="P2">
        <v>16</v>
      </c>
      <c r="Q2">
        <v>17</v>
      </c>
      <c r="R2">
        <v>18</v>
      </c>
      <c r="S2">
        <v>19</v>
      </c>
    </row>
    <row r="3" spans="1:22" x14ac:dyDescent="0.3">
      <c r="A3" s="1" t="s">
        <v>149</v>
      </c>
      <c r="B3" s="1" t="s">
        <v>170</v>
      </c>
      <c r="C3" s="1" t="s">
        <v>150</v>
      </c>
      <c r="D3" s="1" t="s">
        <v>151</v>
      </c>
      <c r="E3" s="1" t="s">
        <v>171</v>
      </c>
      <c r="F3" s="1" t="s">
        <v>172</v>
      </c>
      <c r="G3" s="1" t="s">
        <v>58</v>
      </c>
      <c r="H3" s="1" t="s">
        <v>59</v>
      </c>
      <c r="I3" s="1" t="s">
        <v>60</v>
      </c>
      <c r="J3" s="1" t="s">
        <v>61</v>
      </c>
      <c r="K3" s="1" t="s">
        <v>173</v>
      </c>
      <c r="L3" s="1" t="s">
        <v>174</v>
      </c>
      <c r="M3" s="1" t="s">
        <v>175</v>
      </c>
      <c r="N3" s="1" t="s">
        <v>176</v>
      </c>
      <c r="O3" s="1" t="s">
        <v>177</v>
      </c>
      <c r="P3" s="1" t="s">
        <v>178</v>
      </c>
      <c r="Q3" s="1" t="s">
        <v>179</v>
      </c>
      <c r="R3" s="1" t="s">
        <v>180</v>
      </c>
      <c r="S3" s="1" t="s">
        <v>181</v>
      </c>
      <c r="T3" s="1" t="s">
        <v>182</v>
      </c>
      <c r="U3" s="1" t="s">
        <v>183</v>
      </c>
      <c r="V3" s="1" t="s">
        <v>184</v>
      </c>
    </row>
    <row r="4" spans="1:22" x14ac:dyDescent="0.3">
      <c r="A4" s="2">
        <v>1</v>
      </c>
      <c r="B4" s="2" t="s">
        <v>185</v>
      </c>
      <c r="C4" s="2" t="s">
        <v>186</v>
      </c>
      <c r="D4" s="2" t="s">
        <v>161</v>
      </c>
      <c r="E4" s="2" t="s">
        <v>187</v>
      </c>
      <c r="F4" s="2" t="s">
        <v>188</v>
      </c>
      <c r="G4" s="20" t="s">
        <v>162</v>
      </c>
      <c r="H4" s="20">
        <v>0.55000000000000004</v>
      </c>
      <c r="I4" s="20">
        <v>0.45</v>
      </c>
      <c r="J4" s="20">
        <v>0.4</v>
      </c>
      <c r="K4" s="20">
        <v>0.16</v>
      </c>
      <c r="L4" s="37">
        <v>2</v>
      </c>
      <c r="M4" s="2">
        <v>150</v>
      </c>
      <c r="N4" s="2">
        <v>25</v>
      </c>
      <c r="O4" s="2" t="s">
        <v>189</v>
      </c>
      <c r="P4" s="2">
        <v>5.5</v>
      </c>
      <c r="Q4" s="2">
        <v>8.5</v>
      </c>
      <c r="R4" s="2">
        <v>35</v>
      </c>
      <c r="S4" s="2">
        <v>120</v>
      </c>
      <c r="T4" s="2" t="s">
        <v>190</v>
      </c>
      <c r="U4" s="2" t="s">
        <v>185</v>
      </c>
      <c r="V4" s="2" t="s">
        <v>191</v>
      </c>
    </row>
    <row r="5" spans="1:22" x14ac:dyDescent="0.3">
      <c r="A5" s="2">
        <v>2</v>
      </c>
      <c r="B5" s="2" t="s">
        <v>192</v>
      </c>
      <c r="C5" s="2" t="s">
        <v>193</v>
      </c>
      <c r="D5" s="2" t="s">
        <v>161</v>
      </c>
      <c r="E5" s="2" t="s">
        <v>187</v>
      </c>
      <c r="F5" s="2" t="s">
        <v>188</v>
      </c>
      <c r="G5" s="20" t="s">
        <v>162</v>
      </c>
      <c r="H5" s="20">
        <v>0.5</v>
      </c>
      <c r="I5" s="20">
        <v>0.35</v>
      </c>
      <c r="J5" s="20">
        <v>0.45</v>
      </c>
      <c r="K5" s="20">
        <v>0.15</v>
      </c>
      <c r="L5" s="37">
        <v>2.5</v>
      </c>
      <c r="M5" s="2">
        <v>150</v>
      </c>
      <c r="N5" s="2">
        <v>25</v>
      </c>
      <c r="O5" s="2" t="s">
        <v>189</v>
      </c>
      <c r="P5" s="2">
        <v>5.5</v>
      </c>
      <c r="Q5" s="2">
        <v>8.5</v>
      </c>
      <c r="R5" s="2">
        <v>35</v>
      </c>
      <c r="S5" s="2">
        <v>120</v>
      </c>
      <c r="T5" s="2" t="s">
        <v>194</v>
      </c>
      <c r="U5" s="2" t="s">
        <v>192</v>
      </c>
      <c r="V5" s="2" t="s">
        <v>195</v>
      </c>
    </row>
    <row r="6" spans="1:22" x14ac:dyDescent="0.3">
      <c r="A6" s="2">
        <v>3</v>
      </c>
      <c r="B6" s="2" t="s">
        <v>196</v>
      </c>
      <c r="C6" s="2" t="s">
        <v>197</v>
      </c>
      <c r="D6" s="2" t="s">
        <v>163</v>
      </c>
      <c r="E6" s="2" t="s">
        <v>198</v>
      </c>
      <c r="F6" s="2" t="s">
        <v>188</v>
      </c>
      <c r="G6" s="20" t="s">
        <v>162</v>
      </c>
      <c r="H6" s="20">
        <v>0.5</v>
      </c>
      <c r="I6" s="20">
        <v>0.5</v>
      </c>
      <c r="J6" s="20">
        <v>0.5</v>
      </c>
      <c r="K6" s="20">
        <v>0.22</v>
      </c>
      <c r="L6" s="37">
        <v>2.4</v>
      </c>
      <c r="M6" s="2">
        <v>600</v>
      </c>
      <c r="N6" s="2">
        <v>25</v>
      </c>
      <c r="O6" s="2" t="s">
        <v>189</v>
      </c>
      <c r="P6" s="2">
        <v>6</v>
      </c>
      <c r="Q6" s="2">
        <v>9</v>
      </c>
      <c r="R6" s="2">
        <v>35</v>
      </c>
      <c r="S6" s="2">
        <v>120</v>
      </c>
      <c r="T6" s="2"/>
      <c r="U6" s="2" t="s">
        <v>196</v>
      </c>
      <c r="V6" s="2" t="s">
        <v>199</v>
      </c>
    </row>
    <row r="7" spans="1:22" x14ac:dyDescent="0.3">
      <c r="A7" s="2">
        <v>4</v>
      </c>
      <c r="B7" s="2" t="s">
        <v>200</v>
      </c>
      <c r="C7" s="2" t="s">
        <v>201</v>
      </c>
      <c r="D7" s="2" t="s">
        <v>163</v>
      </c>
      <c r="E7" s="2" t="s">
        <v>198</v>
      </c>
      <c r="F7" s="2" t="s">
        <v>188</v>
      </c>
      <c r="G7" s="20" t="s">
        <v>162</v>
      </c>
      <c r="H7" s="20">
        <v>0.5</v>
      </c>
      <c r="I7" s="20">
        <v>0.5</v>
      </c>
      <c r="J7" s="20">
        <v>0.5</v>
      </c>
      <c r="K7" s="20">
        <v>0.3</v>
      </c>
      <c r="L7" s="37">
        <v>4.9000000000000004</v>
      </c>
      <c r="M7" s="2">
        <v>250</v>
      </c>
      <c r="N7" s="2">
        <v>25</v>
      </c>
      <c r="O7" s="2" t="s">
        <v>189</v>
      </c>
      <c r="P7" s="2">
        <v>6</v>
      </c>
      <c r="Q7" s="2">
        <v>9</v>
      </c>
      <c r="R7" s="2">
        <v>35</v>
      </c>
      <c r="S7" s="2">
        <v>120</v>
      </c>
      <c r="T7" s="2"/>
      <c r="U7" s="2" t="s">
        <v>200</v>
      </c>
      <c r="V7" s="2" t="s">
        <v>202</v>
      </c>
    </row>
    <row r="8" spans="1:22" x14ac:dyDescent="0.3">
      <c r="A8" s="2">
        <v>5</v>
      </c>
      <c r="B8" s="2" t="s">
        <v>203</v>
      </c>
      <c r="C8" s="2" t="s">
        <v>204</v>
      </c>
      <c r="D8" s="2" t="s">
        <v>163</v>
      </c>
      <c r="E8" s="2" t="s">
        <v>198</v>
      </c>
      <c r="F8" s="2" t="s">
        <v>188</v>
      </c>
      <c r="G8" s="20" t="s">
        <v>162</v>
      </c>
      <c r="H8" s="20">
        <v>0.5</v>
      </c>
      <c r="I8" s="20">
        <v>0.35</v>
      </c>
      <c r="J8" s="20">
        <v>0.4</v>
      </c>
      <c r="K8" s="20">
        <v>0.22</v>
      </c>
      <c r="L8" s="37">
        <v>3.4</v>
      </c>
      <c r="M8" s="2">
        <v>500</v>
      </c>
      <c r="N8" s="2">
        <v>25</v>
      </c>
      <c r="O8" s="2" t="s">
        <v>189</v>
      </c>
      <c r="P8" s="2">
        <v>6</v>
      </c>
      <c r="Q8" s="2">
        <v>9</v>
      </c>
      <c r="R8" s="2">
        <v>35</v>
      </c>
      <c r="S8" s="2">
        <v>120</v>
      </c>
      <c r="T8" s="2" t="s">
        <v>205</v>
      </c>
      <c r="U8" s="2" t="s">
        <v>203</v>
      </c>
      <c r="V8" s="2" t="s">
        <v>206</v>
      </c>
    </row>
    <row r="9" spans="1:22" x14ac:dyDescent="0.3">
      <c r="A9" s="2">
        <v>6</v>
      </c>
      <c r="B9" s="2" t="s">
        <v>207</v>
      </c>
      <c r="C9" s="2" t="s">
        <v>208</v>
      </c>
      <c r="D9" s="2" t="s">
        <v>163</v>
      </c>
      <c r="E9" s="2" t="s">
        <v>198</v>
      </c>
      <c r="F9" s="2" t="s">
        <v>188</v>
      </c>
      <c r="G9" s="20" t="s">
        <v>162</v>
      </c>
      <c r="H9" s="20">
        <v>0.55000000000000004</v>
      </c>
      <c r="I9" s="20">
        <v>0.4</v>
      </c>
      <c r="J9" s="20">
        <v>0.5</v>
      </c>
      <c r="K9" s="20">
        <v>0.22</v>
      </c>
      <c r="L9" s="37">
        <v>2.4</v>
      </c>
      <c r="M9" s="2">
        <v>300</v>
      </c>
      <c r="N9" s="2">
        <v>25</v>
      </c>
      <c r="O9" s="2" t="s">
        <v>189</v>
      </c>
      <c r="P9" s="2">
        <v>6</v>
      </c>
      <c r="Q9" s="2">
        <v>9</v>
      </c>
      <c r="R9" s="2">
        <v>35</v>
      </c>
      <c r="S9" s="2">
        <v>120</v>
      </c>
      <c r="T9" s="2" t="s">
        <v>209</v>
      </c>
      <c r="U9" s="2" t="s">
        <v>207</v>
      </c>
      <c r="V9" s="2" t="s">
        <v>210</v>
      </c>
    </row>
    <row r="10" spans="1:22" x14ac:dyDescent="0.3">
      <c r="A10" s="2">
        <v>7</v>
      </c>
      <c r="B10" s="2" t="s">
        <v>211</v>
      </c>
      <c r="C10" s="2" t="s">
        <v>212</v>
      </c>
      <c r="D10" s="2" t="s">
        <v>163</v>
      </c>
      <c r="E10" s="2" t="s">
        <v>198</v>
      </c>
      <c r="F10" s="2" t="s">
        <v>188</v>
      </c>
      <c r="G10" s="20" t="s">
        <v>162</v>
      </c>
      <c r="H10" s="20">
        <v>0.4</v>
      </c>
      <c r="I10" s="20">
        <v>0.2</v>
      </c>
      <c r="J10" s="20">
        <v>0.45</v>
      </c>
      <c r="K10" s="20">
        <v>0.25</v>
      </c>
      <c r="L10" s="37">
        <v>7.1</v>
      </c>
      <c r="M10" s="2">
        <v>850</v>
      </c>
      <c r="N10" s="2">
        <v>25</v>
      </c>
      <c r="O10" s="2" t="s">
        <v>189</v>
      </c>
      <c r="P10" s="2">
        <v>6</v>
      </c>
      <c r="Q10" s="2">
        <v>9</v>
      </c>
      <c r="R10" s="2">
        <v>35</v>
      </c>
      <c r="S10" s="2">
        <v>120</v>
      </c>
      <c r="T10" s="2" t="s">
        <v>213</v>
      </c>
      <c r="U10" s="2" t="s">
        <v>211</v>
      </c>
      <c r="V10" s="2" t="s">
        <v>214</v>
      </c>
    </row>
    <row r="11" spans="1:22" x14ac:dyDescent="0.3">
      <c r="A11" s="2">
        <v>8</v>
      </c>
      <c r="B11" s="2" t="s">
        <v>215</v>
      </c>
      <c r="C11" s="2" t="s">
        <v>216</v>
      </c>
      <c r="D11" s="2" t="s">
        <v>163</v>
      </c>
      <c r="E11" s="2" t="s">
        <v>198</v>
      </c>
      <c r="F11" s="2" t="s">
        <v>188</v>
      </c>
      <c r="G11" s="20" t="s">
        <v>162</v>
      </c>
      <c r="H11" s="20">
        <v>0.5</v>
      </c>
      <c r="I11" s="20">
        <v>0.25</v>
      </c>
      <c r="J11" s="20">
        <v>0.45</v>
      </c>
      <c r="K11" s="20">
        <v>0.22</v>
      </c>
      <c r="L11" s="37">
        <v>3.6</v>
      </c>
      <c r="M11" s="2">
        <v>400</v>
      </c>
      <c r="N11" s="2">
        <v>25</v>
      </c>
      <c r="O11" s="2" t="s">
        <v>189</v>
      </c>
      <c r="P11" s="2">
        <v>6</v>
      </c>
      <c r="Q11" s="2">
        <v>9</v>
      </c>
      <c r="R11" s="2">
        <v>35</v>
      </c>
      <c r="S11" s="2">
        <v>120</v>
      </c>
      <c r="T11" s="2" t="s">
        <v>217</v>
      </c>
      <c r="U11" s="2" t="s">
        <v>215</v>
      </c>
      <c r="V11" s="2" t="s">
        <v>218</v>
      </c>
    </row>
    <row r="12" spans="1:22" x14ac:dyDescent="0.3">
      <c r="A12" s="2">
        <v>9</v>
      </c>
      <c r="B12" s="2" t="s">
        <v>219</v>
      </c>
      <c r="C12" s="2" t="s">
        <v>220</v>
      </c>
      <c r="D12" s="2" t="s">
        <v>163</v>
      </c>
      <c r="E12" s="2" t="s">
        <v>198</v>
      </c>
      <c r="F12" s="2" t="s">
        <v>188</v>
      </c>
      <c r="G12" s="20" t="s">
        <v>162</v>
      </c>
      <c r="H12" s="20">
        <v>0.6</v>
      </c>
      <c r="I12" s="20">
        <v>0.45</v>
      </c>
      <c r="J12" s="20">
        <v>0.5</v>
      </c>
      <c r="K12" s="20">
        <v>0.22</v>
      </c>
      <c r="L12" s="37">
        <v>3</v>
      </c>
      <c r="M12" s="2">
        <v>200</v>
      </c>
      <c r="N12" s="2">
        <v>25</v>
      </c>
      <c r="O12" s="2" t="s">
        <v>189</v>
      </c>
      <c r="P12" s="2">
        <v>6</v>
      </c>
      <c r="Q12" s="2">
        <v>9</v>
      </c>
      <c r="R12" s="2">
        <v>35</v>
      </c>
      <c r="S12" s="2">
        <v>120</v>
      </c>
      <c r="T12" s="2" t="s">
        <v>221</v>
      </c>
      <c r="U12" s="2" t="s">
        <v>219</v>
      </c>
      <c r="V12" s="2" t="s">
        <v>222</v>
      </c>
    </row>
    <row r="13" spans="1:22" x14ac:dyDescent="0.3">
      <c r="A13" s="2">
        <v>10</v>
      </c>
      <c r="B13" s="2" t="s">
        <v>223</v>
      </c>
      <c r="C13" s="2" t="s">
        <v>224</v>
      </c>
      <c r="D13" s="2" t="s">
        <v>165</v>
      </c>
      <c r="E13" s="2" t="s">
        <v>225</v>
      </c>
      <c r="F13" s="2" t="s">
        <v>188</v>
      </c>
      <c r="G13" s="20">
        <v>0.6</v>
      </c>
      <c r="H13" s="20">
        <v>0.6</v>
      </c>
      <c r="I13" s="20">
        <v>0.6</v>
      </c>
      <c r="J13" s="20">
        <v>0.6</v>
      </c>
      <c r="K13" s="20">
        <v>0.15</v>
      </c>
      <c r="L13" s="37">
        <v>3.8</v>
      </c>
      <c r="M13" s="2">
        <v>300</v>
      </c>
      <c r="N13" s="2">
        <v>25</v>
      </c>
      <c r="O13" s="2">
        <v>0.45</v>
      </c>
      <c r="P13" s="2">
        <v>5.5</v>
      </c>
      <c r="Q13" s="2">
        <v>8.5</v>
      </c>
      <c r="R13" s="2">
        <v>40</v>
      </c>
      <c r="S13" s="2">
        <v>120</v>
      </c>
      <c r="T13" s="2" t="s">
        <v>226</v>
      </c>
      <c r="U13" s="2" t="s">
        <v>223</v>
      </c>
      <c r="V13" s="2" t="s">
        <v>227</v>
      </c>
    </row>
    <row r="14" spans="1:22" x14ac:dyDescent="0.3">
      <c r="A14" s="2">
        <v>11</v>
      </c>
      <c r="B14" s="2" t="s">
        <v>228</v>
      </c>
      <c r="C14" s="2" t="s">
        <v>229</v>
      </c>
      <c r="D14" s="2" t="s">
        <v>165</v>
      </c>
      <c r="E14" s="2" t="s">
        <v>225</v>
      </c>
      <c r="F14" s="2" t="s">
        <v>188</v>
      </c>
      <c r="G14" s="20">
        <v>0.6</v>
      </c>
      <c r="H14" s="20">
        <v>0.55000000000000004</v>
      </c>
      <c r="I14" s="20">
        <v>0.6</v>
      </c>
      <c r="J14" s="20">
        <v>0.55000000000000004</v>
      </c>
      <c r="K14" s="20">
        <v>0.1</v>
      </c>
      <c r="L14" s="37">
        <v>2.5</v>
      </c>
      <c r="M14" s="2">
        <v>200</v>
      </c>
      <c r="N14" s="2">
        <v>25</v>
      </c>
      <c r="O14" s="2">
        <v>0.65</v>
      </c>
      <c r="P14" s="2">
        <v>5.5</v>
      </c>
      <c r="Q14" s="2">
        <v>8.5</v>
      </c>
      <c r="R14" s="2">
        <v>40</v>
      </c>
      <c r="S14" s="2">
        <v>120</v>
      </c>
      <c r="T14" s="2" t="s">
        <v>230</v>
      </c>
      <c r="U14" s="2" t="s">
        <v>228</v>
      </c>
      <c r="V14" s="2" t="s">
        <v>231</v>
      </c>
    </row>
    <row r="15" spans="1:22" x14ac:dyDescent="0.3">
      <c r="A15" s="2">
        <v>12</v>
      </c>
      <c r="B15" s="2" t="s">
        <v>232</v>
      </c>
      <c r="C15" s="2" t="s">
        <v>233</v>
      </c>
      <c r="D15" s="2" t="s">
        <v>165</v>
      </c>
      <c r="E15" s="2" t="s">
        <v>225</v>
      </c>
      <c r="F15" s="2" t="s">
        <v>188</v>
      </c>
      <c r="G15" s="20">
        <v>0.5</v>
      </c>
      <c r="H15" s="20">
        <v>0.5</v>
      </c>
      <c r="I15" s="20">
        <v>0.5</v>
      </c>
      <c r="J15" s="20">
        <v>0.5</v>
      </c>
      <c r="K15" s="20">
        <v>0.15</v>
      </c>
      <c r="L15" s="37">
        <v>3.8</v>
      </c>
      <c r="M15" s="2">
        <v>550</v>
      </c>
      <c r="N15" s="2">
        <v>25</v>
      </c>
      <c r="O15" s="2">
        <v>0.65</v>
      </c>
      <c r="P15" s="2">
        <v>5.5</v>
      </c>
      <c r="Q15" s="2">
        <v>8.5</v>
      </c>
      <c r="R15" s="2">
        <v>40</v>
      </c>
      <c r="S15" s="2">
        <v>120</v>
      </c>
      <c r="T15" s="2" t="s">
        <v>234</v>
      </c>
      <c r="U15" s="2" t="s">
        <v>232</v>
      </c>
      <c r="V15" s="2" t="s">
        <v>235</v>
      </c>
    </row>
    <row r="16" spans="1:22" x14ac:dyDescent="0.3">
      <c r="A16" s="2">
        <v>13</v>
      </c>
      <c r="B16" s="2" t="s">
        <v>236</v>
      </c>
      <c r="C16" s="2" t="s">
        <v>237</v>
      </c>
      <c r="D16" s="2" t="s">
        <v>166</v>
      </c>
      <c r="E16" s="2" t="s">
        <v>238</v>
      </c>
      <c r="F16" s="2" t="s">
        <v>188</v>
      </c>
      <c r="G16" s="20">
        <v>0.2</v>
      </c>
      <c r="H16" s="20">
        <v>0.55000000000000004</v>
      </c>
      <c r="I16" s="20">
        <v>0.4</v>
      </c>
      <c r="J16" s="20">
        <v>0.3</v>
      </c>
      <c r="K16" s="20">
        <v>0.2</v>
      </c>
      <c r="L16" s="37">
        <v>2</v>
      </c>
      <c r="M16" s="2">
        <v>200</v>
      </c>
      <c r="N16" s="2">
        <v>25</v>
      </c>
      <c r="O16" s="2">
        <v>0.6</v>
      </c>
      <c r="P16" s="2">
        <v>6</v>
      </c>
      <c r="Q16" s="2">
        <v>9</v>
      </c>
      <c r="R16" s="2">
        <v>60</v>
      </c>
      <c r="S16" s="2">
        <v>120</v>
      </c>
      <c r="T16" s="2" t="s">
        <v>239</v>
      </c>
      <c r="U16" s="2" t="s">
        <v>240</v>
      </c>
      <c r="V16" s="2" t="s">
        <v>241</v>
      </c>
    </row>
    <row r="17" spans="1:22" x14ac:dyDescent="0.3">
      <c r="A17" s="2">
        <v>14</v>
      </c>
      <c r="B17" s="2" t="s">
        <v>242</v>
      </c>
      <c r="C17" s="2" t="s">
        <v>243</v>
      </c>
      <c r="D17" s="2" t="s">
        <v>166</v>
      </c>
      <c r="E17" s="2" t="s">
        <v>238</v>
      </c>
      <c r="F17" s="2" t="s">
        <v>188</v>
      </c>
      <c r="G17" s="20">
        <v>0.5</v>
      </c>
      <c r="H17" s="20">
        <v>0.5</v>
      </c>
      <c r="I17" s="20">
        <v>0.4</v>
      </c>
      <c r="J17" s="20">
        <v>0.4</v>
      </c>
      <c r="K17" s="20">
        <v>0.18</v>
      </c>
      <c r="L17" s="37">
        <v>1.9</v>
      </c>
      <c r="M17" s="2">
        <v>200</v>
      </c>
      <c r="N17" s="2">
        <v>25</v>
      </c>
      <c r="O17" s="2">
        <v>0.6</v>
      </c>
      <c r="P17" s="2">
        <v>5.5</v>
      </c>
      <c r="Q17" s="2">
        <v>8.5</v>
      </c>
      <c r="R17" s="2">
        <v>60</v>
      </c>
      <c r="S17" s="2">
        <v>120</v>
      </c>
      <c r="T17" s="8" t="s">
        <v>244</v>
      </c>
      <c r="U17" s="2" t="s">
        <v>245</v>
      </c>
      <c r="V17" s="2" t="s">
        <v>246</v>
      </c>
    </row>
    <row r="18" spans="1:22" x14ac:dyDescent="0.3">
      <c r="A18" s="2">
        <v>15</v>
      </c>
      <c r="B18" s="2" t="s">
        <v>247</v>
      </c>
      <c r="C18" s="2" t="s">
        <v>248</v>
      </c>
      <c r="D18" s="2" t="s">
        <v>166</v>
      </c>
      <c r="E18" s="2" t="s">
        <v>238</v>
      </c>
      <c r="F18" s="2" t="s">
        <v>188</v>
      </c>
      <c r="G18" s="20">
        <v>0.2</v>
      </c>
      <c r="H18" s="20">
        <v>0.4</v>
      </c>
      <c r="I18" s="20">
        <v>0.3</v>
      </c>
      <c r="J18" s="20">
        <v>0.1</v>
      </c>
      <c r="K18" s="20">
        <v>1.5</v>
      </c>
      <c r="L18" s="37">
        <v>10</v>
      </c>
      <c r="M18" s="2">
        <v>200</v>
      </c>
      <c r="N18" s="2">
        <v>25</v>
      </c>
      <c r="O18" s="2">
        <v>0.05</v>
      </c>
      <c r="P18" s="2">
        <v>5.5</v>
      </c>
      <c r="Q18" s="2">
        <v>8.5</v>
      </c>
      <c r="R18" s="2">
        <v>60</v>
      </c>
      <c r="S18" s="2">
        <v>120</v>
      </c>
      <c r="T18" s="19" t="s">
        <v>249</v>
      </c>
      <c r="U18" s="2" t="s">
        <v>250</v>
      </c>
      <c r="V18" s="2" t="s">
        <v>251</v>
      </c>
    </row>
    <row r="19" spans="1:22" x14ac:dyDescent="0.3">
      <c r="A19" s="2">
        <v>16</v>
      </c>
      <c r="B19" s="2" t="s">
        <v>252</v>
      </c>
      <c r="C19" s="2" t="s">
        <v>253</v>
      </c>
      <c r="D19" s="2" t="s">
        <v>166</v>
      </c>
      <c r="E19" s="2" t="s">
        <v>238</v>
      </c>
      <c r="F19" s="2" t="s">
        <v>188</v>
      </c>
      <c r="G19" s="20">
        <v>0.5</v>
      </c>
      <c r="H19" s="20">
        <v>0.5</v>
      </c>
      <c r="I19" s="20">
        <v>0.4</v>
      </c>
      <c r="J19" s="20">
        <v>0.4</v>
      </c>
      <c r="K19" s="20">
        <v>1</v>
      </c>
      <c r="L19" s="37">
        <v>2.5</v>
      </c>
      <c r="M19" s="2">
        <v>200</v>
      </c>
      <c r="N19" s="2">
        <v>25</v>
      </c>
      <c r="O19" s="2">
        <v>0.6</v>
      </c>
      <c r="P19" s="2">
        <v>5.5</v>
      </c>
      <c r="Q19" s="2">
        <v>8.5</v>
      </c>
      <c r="R19" s="2">
        <v>60</v>
      </c>
      <c r="S19" s="2">
        <v>120</v>
      </c>
      <c r="T19" s="2" t="s">
        <v>254</v>
      </c>
      <c r="U19" s="2" t="s">
        <v>255</v>
      </c>
      <c r="V19" s="2" t="s">
        <v>256</v>
      </c>
    </row>
    <row r="20" spans="1:22" x14ac:dyDescent="0.3">
      <c r="A20" s="2">
        <v>17</v>
      </c>
      <c r="B20" s="2" t="s">
        <v>257</v>
      </c>
      <c r="C20" s="2" t="s">
        <v>258</v>
      </c>
      <c r="D20" s="2" t="s">
        <v>167</v>
      </c>
      <c r="E20" s="2" t="s">
        <v>259</v>
      </c>
      <c r="F20" s="2" t="s">
        <v>188</v>
      </c>
      <c r="G20" s="20">
        <v>0.6</v>
      </c>
      <c r="H20" s="20">
        <v>0.6</v>
      </c>
      <c r="I20" s="20">
        <v>0.45</v>
      </c>
      <c r="J20" s="20">
        <v>0.5</v>
      </c>
      <c r="K20" s="20">
        <v>0.1</v>
      </c>
      <c r="L20" s="37">
        <v>2</v>
      </c>
      <c r="M20" s="2">
        <v>400</v>
      </c>
      <c r="N20" s="2">
        <v>25</v>
      </c>
      <c r="O20" s="2">
        <v>1.7</v>
      </c>
      <c r="P20" s="2">
        <v>6.5</v>
      </c>
      <c r="Q20" s="2">
        <v>8.5</v>
      </c>
      <c r="R20" s="2">
        <v>60</v>
      </c>
      <c r="S20" s="2">
        <v>120</v>
      </c>
      <c r="T20" s="2" t="s">
        <v>260</v>
      </c>
      <c r="U20" s="2" t="s">
        <v>261</v>
      </c>
      <c r="V20" s="2" t="s">
        <v>262</v>
      </c>
    </row>
    <row r="21" spans="1:22" x14ac:dyDescent="0.3">
      <c r="A21" s="2">
        <v>18</v>
      </c>
      <c r="B21" s="2" t="s">
        <v>263</v>
      </c>
      <c r="C21" s="2" t="s">
        <v>264</v>
      </c>
      <c r="D21" s="2" t="s">
        <v>166</v>
      </c>
      <c r="E21" s="2" t="s">
        <v>238</v>
      </c>
      <c r="F21" s="2" t="s">
        <v>265</v>
      </c>
      <c r="G21" s="20">
        <v>0.1</v>
      </c>
      <c r="H21" s="20">
        <v>0.1</v>
      </c>
      <c r="I21" s="20">
        <v>0.3</v>
      </c>
      <c r="J21" s="20">
        <v>0.01</v>
      </c>
      <c r="K21" s="20">
        <v>2</v>
      </c>
      <c r="L21" s="37">
        <v>9</v>
      </c>
      <c r="M21" s="2">
        <v>200</v>
      </c>
      <c r="N21" s="2">
        <v>25</v>
      </c>
      <c r="O21" s="2">
        <v>0.05</v>
      </c>
      <c r="P21" s="2">
        <v>5.5</v>
      </c>
      <c r="Q21" s="2">
        <v>8.5</v>
      </c>
      <c r="R21" s="2">
        <v>60</v>
      </c>
      <c r="S21" s="2">
        <v>120</v>
      </c>
      <c r="T21" s="2" t="s">
        <v>266</v>
      </c>
      <c r="U21" s="2" t="s">
        <v>267</v>
      </c>
      <c r="V21" s="2" t="s">
        <v>268</v>
      </c>
    </row>
    <row r="22" spans="1:22" x14ac:dyDescent="0.3">
      <c r="A22" s="2">
        <v>19</v>
      </c>
      <c r="B22" s="2" t="s">
        <v>269</v>
      </c>
      <c r="C22" s="2" t="s">
        <v>270</v>
      </c>
      <c r="D22" s="2" t="s">
        <v>166</v>
      </c>
      <c r="E22" s="2" t="s">
        <v>238</v>
      </c>
      <c r="F22" s="2" t="s">
        <v>265</v>
      </c>
      <c r="G22" s="20">
        <v>0.6</v>
      </c>
      <c r="H22" s="20">
        <v>0.6</v>
      </c>
      <c r="I22" s="20">
        <v>0.4</v>
      </c>
      <c r="J22" s="20">
        <v>0.35</v>
      </c>
      <c r="K22" s="20">
        <v>0.09</v>
      </c>
      <c r="L22" s="37">
        <v>1.3</v>
      </c>
      <c r="M22" s="2">
        <v>200</v>
      </c>
      <c r="N22" s="2">
        <v>25</v>
      </c>
      <c r="O22" s="2">
        <v>0.9</v>
      </c>
      <c r="P22" s="2">
        <v>5.5</v>
      </c>
      <c r="Q22" s="2">
        <v>8.5</v>
      </c>
      <c r="R22" s="2">
        <v>60</v>
      </c>
      <c r="S22" s="2">
        <v>120</v>
      </c>
      <c r="T22" s="2" t="s">
        <v>271</v>
      </c>
      <c r="U22" s="2" t="s">
        <v>269</v>
      </c>
      <c r="V22" s="2" t="s">
        <v>272</v>
      </c>
    </row>
    <row r="23" spans="1:22" x14ac:dyDescent="0.3">
      <c r="A23" s="2">
        <v>20</v>
      </c>
      <c r="B23" s="2" t="s">
        <v>273</v>
      </c>
      <c r="C23" s="2" t="s">
        <v>274</v>
      </c>
      <c r="D23" s="2" t="s">
        <v>167</v>
      </c>
      <c r="E23" s="2" t="s">
        <v>259</v>
      </c>
      <c r="F23" s="2" t="s">
        <v>188</v>
      </c>
      <c r="G23" s="20">
        <v>0.6</v>
      </c>
      <c r="H23" s="20">
        <v>0.6</v>
      </c>
      <c r="I23" s="20">
        <v>0.5</v>
      </c>
      <c r="J23" s="20">
        <v>0.5</v>
      </c>
      <c r="K23" s="20">
        <v>0.1</v>
      </c>
      <c r="L23" s="37">
        <v>0.9</v>
      </c>
      <c r="M23" s="2">
        <v>200</v>
      </c>
      <c r="N23" s="2">
        <v>25</v>
      </c>
      <c r="O23" s="2">
        <v>1.7</v>
      </c>
      <c r="P23" s="2">
        <v>6.5</v>
      </c>
      <c r="Q23" s="2">
        <v>8.5</v>
      </c>
      <c r="R23" s="2">
        <v>60</v>
      </c>
      <c r="S23" s="2">
        <v>120</v>
      </c>
      <c r="T23" s="2" t="s">
        <v>275</v>
      </c>
      <c r="U23" s="2" t="s">
        <v>276</v>
      </c>
      <c r="V23" s="2" t="s">
        <v>277</v>
      </c>
    </row>
    <row r="24" spans="1:22" x14ac:dyDescent="0.3">
      <c r="E24" s="18"/>
    </row>
    <row r="25" spans="1:22" x14ac:dyDescent="0.3">
      <c r="E25" s="18"/>
    </row>
  </sheetData>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3F77-453A-4CB3-A0D9-B7F3329D9975}">
  <dimension ref="A1:BC23"/>
  <sheetViews>
    <sheetView zoomScaleNormal="100" workbookViewId="0">
      <pane xSplit="2" ySplit="3" topLeftCell="C4" activePane="bottomRight" state="frozen"/>
      <selection pane="topRight" activeCell="B1" sqref="B1"/>
      <selection pane="bottomLeft" activeCell="B1" sqref="B1"/>
      <selection pane="bottomRight" activeCell="C4" sqref="C4"/>
    </sheetView>
  </sheetViews>
  <sheetFormatPr defaultRowHeight="14.4" x14ac:dyDescent="0.3"/>
  <cols>
    <col min="1" max="1" width="4.5546875" customWidth="1"/>
    <col min="2" max="2" width="27" customWidth="1"/>
    <col min="3" max="15" width="7.5546875" customWidth="1"/>
    <col min="16" max="16" width="12.44140625" customWidth="1"/>
    <col min="17" max="17" width="15.44140625" customWidth="1"/>
    <col min="18" max="18" width="11.44140625" customWidth="1"/>
    <col min="19" max="19" width="11.21875" customWidth="1"/>
    <col min="20" max="20" width="8.44140625" customWidth="1"/>
    <col min="21" max="21" width="15.21875" customWidth="1"/>
    <col min="22" max="22" width="14.77734375" customWidth="1"/>
    <col min="23" max="23" width="18.21875" style="22" customWidth="1"/>
    <col min="24" max="24" width="12.44140625" customWidth="1"/>
    <col min="25" max="25" width="15" customWidth="1"/>
    <col min="26" max="26" width="10.77734375" customWidth="1"/>
    <col min="27" max="27" width="14.77734375" customWidth="1"/>
    <col min="28" max="28" width="12.5546875" customWidth="1"/>
    <col min="29" max="29" width="10.77734375" customWidth="1"/>
    <col min="30" max="30" width="17.44140625" customWidth="1"/>
    <col min="31" max="31" width="10.5546875" customWidth="1"/>
    <col min="32" max="32" width="70.21875" style="22" customWidth="1"/>
    <col min="34" max="35" width="8.77734375" hidden="1" customWidth="1"/>
    <col min="36" max="36" width="5.5546875" hidden="1" customWidth="1"/>
    <col min="37" max="51" width="8.77734375" hidden="1" customWidth="1"/>
    <col min="52" max="52" width="6" hidden="1" customWidth="1"/>
    <col min="53" max="54" width="20.44140625" hidden="1" customWidth="1"/>
    <col min="55" max="55" width="6.44140625" hidden="1" customWidth="1"/>
  </cols>
  <sheetData>
    <row r="1" spans="1:55" ht="21" x14ac:dyDescent="0.4">
      <c r="A1" s="57" t="s">
        <v>58</v>
      </c>
      <c r="C1">
        <v>3</v>
      </c>
      <c r="D1">
        <f>C1+1</f>
        <v>4</v>
      </c>
      <c r="E1">
        <f t="shared" ref="E1:P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c r="P1">
        <f t="shared" si="0"/>
        <v>16</v>
      </c>
      <c r="Q1">
        <f t="shared" ref="Q1" si="1">P1+1</f>
        <v>17</v>
      </c>
      <c r="R1">
        <f t="shared" ref="R1" si="2">Q1+1</f>
        <v>18</v>
      </c>
      <c r="S1">
        <f t="shared" ref="S1" si="3">R1+1</f>
        <v>19</v>
      </c>
      <c r="T1">
        <f t="shared" ref="T1" si="4">S1+1</f>
        <v>20</v>
      </c>
      <c r="U1">
        <f t="shared" ref="U1" si="5">T1+1</f>
        <v>21</v>
      </c>
      <c r="V1">
        <f t="shared" ref="V1" si="6">U1+1</f>
        <v>22</v>
      </c>
      <c r="W1" s="22">
        <f t="shared" ref="W1" si="7">V1+1</f>
        <v>23</v>
      </c>
      <c r="X1">
        <f t="shared" ref="X1" si="8">W1+1</f>
        <v>24</v>
      </c>
      <c r="Y1">
        <f t="shared" ref="Y1" si="9">X1+1</f>
        <v>25</v>
      </c>
      <c r="Z1">
        <f t="shared" ref="Z1" si="10">Y1+1</f>
        <v>26</v>
      </c>
      <c r="AA1">
        <f t="shared" ref="AA1" si="11">Z1+1</f>
        <v>27</v>
      </c>
      <c r="AB1">
        <f t="shared" ref="AB1" si="12">AA1+1</f>
        <v>28</v>
      </c>
      <c r="AC1">
        <f t="shared" ref="AC1" si="13">AB1+1</f>
        <v>29</v>
      </c>
      <c r="AD1">
        <f t="shared" ref="AD1" si="14">AC1+1</f>
        <v>30</v>
      </c>
      <c r="AE1">
        <f t="shared" ref="AE1" si="15">AD1+1</f>
        <v>31</v>
      </c>
      <c r="AF1" s="22">
        <v>32</v>
      </c>
    </row>
    <row r="2" spans="1:55" ht="18" x14ac:dyDescent="0.35">
      <c r="A2" s="227" t="s">
        <v>149</v>
      </c>
      <c r="B2" s="227" t="s">
        <v>150</v>
      </c>
      <c r="C2" s="228" t="s">
        <v>278</v>
      </c>
      <c r="D2" s="228"/>
      <c r="E2" s="228"/>
      <c r="F2" s="228"/>
      <c r="G2" s="228"/>
      <c r="H2" s="228"/>
      <c r="I2" s="228"/>
      <c r="J2" s="228"/>
      <c r="K2" s="228"/>
      <c r="L2" s="228"/>
      <c r="M2" s="228"/>
      <c r="N2" s="228"/>
      <c r="O2" s="228"/>
      <c r="P2" s="226" t="s">
        <v>37</v>
      </c>
      <c r="Q2" s="226"/>
      <c r="R2" s="226"/>
      <c r="S2" s="226"/>
      <c r="T2" s="226"/>
      <c r="U2" s="221" t="s">
        <v>279</v>
      </c>
      <c r="V2" s="222"/>
      <c r="W2" s="222"/>
      <c r="X2" s="223"/>
      <c r="Y2" s="226" t="s">
        <v>280</v>
      </c>
      <c r="Z2" s="226"/>
      <c r="AA2" s="226"/>
      <c r="AB2" s="221" t="s">
        <v>43</v>
      </c>
      <c r="AC2" s="222"/>
      <c r="AD2" s="223"/>
      <c r="AE2" s="224" t="s">
        <v>281</v>
      </c>
      <c r="AF2" s="225"/>
      <c r="AI2" t="s">
        <v>282</v>
      </c>
      <c r="AK2">
        <v>-6</v>
      </c>
      <c r="AL2">
        <f>AK2+1</f>
        <v>-5</v>
      </c>
      <c r="AM2">
        <f t="shared" ref="AM2:AW2" si="16">AL2+1</f>
        <v>-4</v>
      </c>
      <c r="AN2">
        <f t="shared" si="16"/>
        <v>-3</v>
      </c>
      <c r="AO2">
        <f t="shared" si="16"/>
        <v>-2</v>
      </c>
      <c r="AP2">
        <f t="shared" si="16"/>
        <v>-1</v>
      </c>
      <c r="AQ2">
        <f t="shared" si="16"/>
        <v>0</v>
      </c>
      <c r="AR2">
        <f t="shared" si="16"/>
        <v>1</v>
      </c>
      <c r="AS2">
        <f t="shared" si="16"/>
        <v>2</v>
      </c>
      <c r="AT2">
        <f t="shared" si="16"/>
        <v>3</v>
      </c>
      <c r="AU2">
        <f t="shared" si="16"/>
        <v>4</v>
      </c>
      <c r="AV2">
        <f t="shared" si="16"/>
        <v>5</v>
      </c>
      <c r="AW2">
        <f t="shared" si="16"/>
        <v>6</v>
      </c>
    </row>
    <row r="3" spans="1:55" s="36" customFormat="1" ht="86.4" x14ac:dyDescent="0.3">
      <c r="A3" s="227"/>
      <c r="B3" s="227"/>
      <c r="C3" s="110">
        <v>2012</v>
      </c>
      <c r="D3" s="110">
        <v>2013</v>
      </c>
      <c r="E3" s="110">
        <v>2014</v>
      </c>
      <c r="F3" s="110">
        <v>2015</v>
      </c>
      <c r="G3" s="110">
        <v>2016</v>
      </c>
      <c r="H3" s="110">
        <v>2017</v>
      </c>
      <c r="I3" s="110">
        <v>2018</v>
      </c>
      <c r="J3" s="110">
        <v>2019</v>
      </c>
      <c r="K3" s="110">
        <v>2020</v>
      </c>
      <c r="L3" s="110">
        <v>2021</v>
      </c>
      <c r="M3" s="110">
        <v>2022</v>
      </c>
      <c r="N3" s="110">
        <v>2023</v>
      </c>
      <c r="O3" s="111">
        <v>2024</v>
      </c>
      <c r="P3" s="112" t="s">
        <v>283</v>
      </c>
      <c r="Q3" s="112" t="s">
        <v>284</v>
      </c>
      <c r="R3" s="112" t="s">
        <v>285</v>
      </c>
      <c r="S3" s="112" t="s">
        <v>286</v>
      </c>
      <c r="T3" s="112" t="s">
        <v>160</v>
      </c>
      <c r="U3" s="113" t="s">
        <v>287</v>
      </c>
      <c r="V3" s="113" t="s">
        <v>288</v>
      </c>
      <c r="W3" s="113" t="s">
        <v>289</v>
      </c>
      <c r="X3" s="113" t="s">
        <v>132</v>
      </c>
      <c r="Y3" s="112" t="s">
        <v>290</v>
      </c>
      <c r="Z3" s="112" t="s">
        <v>291</v>
      </c>
      <c r="AA3" s="112" t="s">
        <v>292</v>
      </c>
      <c r="AB3" s="113" t="s">
        <v>293</v>
      </c>
      <c r="AC3" s="113" t="s">
        <v>294</v>
      </c>
      <c r="AD3" s="113" t="s">
        <v>295</v>
      </c>
      <c r="AE3" s="112" t="s">
        <v>67</v>
      </c>
      <c r="AF3" s="112" t="s">
        <v>296</v>
      </c>
      <c r="AH3" s="114" t="s">
        <v>297</v>
      </c>
      <c r="AI3" s="114" t="s">
        <v>298</v>
      </c>
      <c r="AJ3" s="114" t="s">
        <v>299</v>
      </c>
      <c r="AK3" s="115">
        <v>2012</v>
      </c>
      <c r="AL3" s="115">
        <v>2013</v>
      </c>
      <c r="AM3" s="115">
        <v>2014</v>
      </c>
      <c r="AN3" s="115">
        <v>2015</v>
      </c>
      <c r="AO3" s="115">
        <v>2016</v>
      </c>
      <c r="AP3" s="115">
        <v>2017</v>
      </c>
      <c r="AQ3" s="115">
        <v>2018</v>
      </c>
      <c r="AR3" s="115">
        <v>2019</v>
      </c>
      <c r="AS3" s="115">
        <v>2020</v>
      </c>
      <c r="AT3" s="115">
        <v>2021</v>
      </c>
      <c r="AU3" s="115">
        <v>2022</v>
      </c>
      <c r="AV3" s="115">
        <v>2023</v>
      </c>
      <c r="AW3" s="115">
        <v>2024</v>
      </c>
      <c r="AX3" s="116" t="s">
        <v>151</v>
      </c>
      <c r="AY3" s="117" t="s">
        <v>300</v>
      </c>
      <c r="AZ3" s="1" t="s">
        <v>301</v>
      </c>
      <c r="BA3" s="32" t="s">
        <v>302</v>
      </c>
      <c r="BB3" s="32" t="s">
        <v>303</v>
      </c>
      <c r="BC3" s="32" t="s">
        <v>157</v>
      </c>
    </row>
    <row r="4" spans="1:55" s="36" customFormat="1" x14ac:dyDescent="0.3">
      <c r="A4" s="53">
        <v>1</v>
      </c>
      <c r="B4" s="53" t="str">
        <f>WLs!C4</f>
        <v>Tochten ABC1</v>
      </c>
      <c r="C4" s="35"/>
      <c r="D4" s="35"/>
      <c r="E4" s="35"/>
      <c r="F4" s="35"/>
      <c r="G4" s="35"/>
      <c r="H4" s="35"/>
      <c r="I4" s="35"/>
      <c r="J4" s="35"/>
      <c r="K4" s="35"/>
      <c r="L4" s="35"/>
      <c r="M4" s="35"/>
      <c r="N4" s="35"/>
      <c r="O4" s="35"/>
      <c r="P4" s="54"/>
      <c r="Q4" s="54"/>
      <c r="R4" s="54"/>
      <c r="S4" s="54"/>
      <c r="T4" s="54"/>
      <c r="U4" s="55"/>
      <c r="V4" s="55"/>
      <c r="W4" s="56"/>
      <c r="X4" s="55"/>
      <c r="Y4" s="54"/>
      <c r="Z4" s="54"/>
      <c r="AA4" s="54"/>
      <c r="AB4" s="55"/>
      <c r="AC4" s="55"/>
      <c r="AD4" s="61"/>
      <c r="AE4" s="54" t="s">
        <v>162</v>
      </c>
      <c r="AF4" s="59" t="s">
        <v>304</v>
      </c>
      <c r="AH4" s="38"/>
      <c r="AI4" s="39"/>
      <c r="AJ4" s="39"/>
      <c r="AK4" s="40"/>
      <c r="AL4" s="40"/>
      <c r="AM4" s="40"/>
      <c r="AN4" s="40"/>
      <c r="AO4" s="40"/>
      <c r="AP4" s="40"/>
      <c r="AQ4" s="40"/>
      <c r="AR4" s="40"/>
      <c r="AS4" s="40"/>
      <c r="AT4" s="40"/>
      <c r="AU4" s="40"/>
      <c r="AV4" s="40"/>
      <c r="AW4" s="40"/>
      <c r="AX4" s="41"/>
      <c r="AY4" s="42"/>
      <c r="AZ4" s="34">
        <v>1</v>
      </c>
      <c r="BA4" s="34"/>
      <c r="BB4" s="34" t="str">
        <f>IF(BA4=1,"Landelijke tussenevaluatie",IF(BA4=2,"Berekening met concentratie nutriënten gelijk aan norm","n.b."))</f>
        <v>n.b.</v>
      </c>
      <c r="BC4" s="34" t="str">
        <f>IF(BA4=1,Z4,IF(BA4=2,AA4,"n.b."))</f>
        <v>n.b.</v>
      </c>
    </row>
    <row r="5" spans="1:55" s="36" customFormat="1" x14ac:dyDescent="0.3">
      <c r="A5" s="53">
        <v>2</v>
      </c>
      <c r="B5" s="53" t="str">
        <f>WLs!C5</f>
        <v>Tochten ABC2</v>
      </c>
      <c r="C5" s="35"/>
      <c r="D5" s="35"/>
      <c r="E5" s="35"/>
      <c r="F5" s="35"/>
      <c r="G5" s="35"/>
      <c r="H5" s="35"/>
      <c r="I5" s="35"/>
      <c r="J5" s="35"/>
      <c r="K5" s="35"/>
      <c r="L5" s="35"/>
      <c r="M5" s="35"/>
      <c r="N5" s="35"/>
      <c r="O5" s="35"/>
      <c r="P5" s="54"/>
      <c r="Q5" s="54"/>
      <c r="R5" s="54"/>
      <c r="S5" s="54"/>
      <c r="T5" s="54"/>
      <c r="U5" s="55"/>
      <c r="V5" s="55"/>
      <c r="W5" s="56"/>
      <c r="X5" s="55"/>
      <c r="Y5" s="54"/>
      <c r="Z5" s="54"/>
      <c r="AA5" s="54"/>
      <c r="AB5" s="55"/>
      <c r="AC5" s="55"/>
      <c r="AD5" s="61"/>
      <c r="AE5" s="54" t="s">
        <v>162</v>
      </c>
      <c r="AF5" s="59" t="s">
        <v>304</v>
      </c>
      <c r="AH5" s="38"/>
      <c r="AI5" s="39"/>
      <c r="AJ5" s="39"/>
      <c r="AK5" s="40"/>
      <c r="AL5" s="40"/>
      <c r="AM5" s="40"/>
      <c r="AN5" s="40"/>
      <c r="AO5" s="40"/>
      <c r="AP5" s="40"/>
      <c r="AQ5" s="40"/>
      <c r="AR5" s="40"/>
      <c r="AS5" s="40"/>
      <c r="AT5" s="40"/>
      <c r="AU5" s="40"/>
      <c r="AV5" s="40"/>
      <c r="AW5" s="40"/>
      <c r="AX5" s="43" t="s">
        <v>161</v>
      </c>
      <c r="AY5" s="44">
        <f>AY4</f>
        <v>0</v>
      </c>
      <c r="AZ5" s="34">
        <v>2</v>
      </c>
      <c r="BA5" s="34"/>
      <c r="BB5" s="34" t="str">
        <f t="shared" ref="BB5:BB23" si="17">IF(BA5=1,"Landelijke tussenevaluatie",IF(BA5=2,"Berekening met concentratie nutriënten gelijk aan norm","n.b."))</f>
        <v>n.b.</v>
      </c>
      <c r="BC5" s="34" t="str">
        <f t="shared" ref="BC5:BC23" si="18">IF(BA5=1,Z5,IF(BA5=2,AA5,"n.b."))</f>
        <v>n.b.</v>
      </c>
    </row>
    <row r="6" spans="1:55" s="36" customFormat="1" x14ac:dyDescent="0.3">
      <c r="A6" s="53">
        <v>3</v>
      </c>
      <c r="B6" s="53" t="str">
        <f>WLs!C6</f>
        <v>Tochten DE Almere</v>
      </c>
      <c r="C6" s="35"/>
      <c r="D6" s="35"/>
      <c r="E6" s="35"/>
      <c r="F6" s="35"/>
      <c r="G6" s="35"/>
      <c r="H6" s="35"/>
      <c r="I6" s="35"/>
      <c r="J6" s="35"/>
      <c r="K6" s="35"/>
      <c r="L6" s="35"/>
      <c r="M6" s="35"/>
      <c r="N6" s="35"/>
      <c r="O6" s="35"/>
      <c r="P6" s="54"/>
      <c r="Q6" s="54"/>
      <c r="R6" s="54"/>
      <c r="S6" s="54"/>
      <c r="T6" s="54"/>
      <c r="U6" s="55"/>
      <c r="V6" s="55"/>
      <c r="W6" s="56"/>
      <c r="X6" s="55"/>
      <c r="Y6" s="54"/>
      <c r="Z6" s="54"/>
      <c r="AA6" s="54"/>
      <c r="AB6" s="55"/>
      <c r="AC6" s="55"/>
      <c r="AD6" s="61"/>
      <c r="AE6" s="54" t="s">
        <v>162</v>
      </c>
      <c r="AF6" s="59" t="s">
        <v>304</v>
      </c>
      <c r="AH6" s="38"/>
      <c r="AI6" s="39"/>
      <c r="AJ6" s="39"/>
      <c r="AK6" s="40"/>
      <c r="AL6" s="40"/>
      <c r="AM6" s="40"/>
      <c r="AN6" s="40"/>
      <c r="AO6" s="40"/>
      <c r="AP6" s="40"/>
      <c r="AQ6" s="40"/>
      <c r="AR6" s="40"/>
      <c r="AS6" s="40"/>
      <c r="AT6" s="40"/>
      <c r="AU6" s="40"/>
      <c r="AV6" s="40"/>
      <c r="AW6" s="40"/>
      <c r="AX6" s="43" t="s">
        <v>163</v>
      </c>
      <c r="AY6" s="44" t="e">
        <f>#REF!</f>
        <v>#REF!</v>
      </c>
      <c r="AZ6" s="34">
        <v>3</v>
      </c>
      <c r="BA6" s="34"/>
      <c r="BB6" s="34" t="str">
        <f t="shared" si="17"/>
        <v>n.b.</v>
      </c>
      <c r="BC6" s="34" t="str">
        <f t="shared" si="18"/>
        <v>n.b.</v>
      </c>
    </row>
    <row r="7" spans="1:55" s="36" customFormat="1" x14ac:dyDescent="0.3">
      <c r="A7" s="53">
        <v>4</v>
      </c>
      <c r="B7" s="53" t="str">
        <f>WLs!C7</f>
        <v>Tochten DE Zuidlob</v>
      </c>
      <c r="C7" s="35"/>
      <c r="D7" s="35"/>
      <c r="E7" s="35"/>
      <c r="F7" s="35"/>
      <c r="G7" s="35"/>
      <c r="H7" s="35"/>
      <c r="I7" s="35"/>
      <c r="J7" s="35"/>
      <c r="K7" s="35"/>
      <c r="L7" s="35"/>
      <c r="M7" s="35"/>
      <c r="N7" s="35"/>
      <c r="O7" s="35"/>
      <c r="P7" s="54"/>
      <c r="Q7" s="54"/>
      <c r="R7" s="54"/>
      <c r="S7" s="54"/>
      <c r="T7" s="54"/>
      <c r="U7" s="55"/>
      <c r="V7" s="55"/>
      <c r="W7" s="56"/>
      <c r="X7" s="55"/>
      <c r="Y7" s="54"/>
      <c r="Z7" s="54"/>
      <c r="AA7" s="54"/>
      <c r="AB7" s="55"/>
      <c r="AC7" s="55"/>
      <c r="AD7" s="61"/>
      <c r="AE7" s="54" t="s">
        <v>162</v>
      </c>
      <c r="AF7" s="59" t="s">
        <v>304</v>
      </c>
      <c r="AH7" s="38"/>
      <c r="AI7" s="39"/>
      <c r="AJ7" s="39"/>
      <c r="AK7" s="40"/>
      <c r="AL7" s="40"/>
      <c r="AM7" s="40"/>
      <c r="AN7" s="40"/>
      <c r="AO7" s="40"/>
      <c r="AP7" s="40"/>
      <c r="AQ7" s="40"/>
      <c r="AR7" s="40"/>
      <c r="AS7" s="40"/>
      <c r="AT7" s="40"/>
      <c r="AU7" s="40"/>
      <c r="AV7" s="40"/>
      <c r="AW7" s="40"/>
      <c r="AX7" s="43" t="s">
        <v>163</v>
      </c>
      <c r="AY7" s="44" t="e">
        <f t="shared" ref="AY7:AY12" si="19">AY6</f>
        <v>#REF!</v>
      </c>
      <c r="AZ7" s="34">
        <v>4</v>
      </c>
      <c r="BA7" s="34"/>
      <c r="BB7" s="34" t="str">
        <f t="shared" si="17"/>
        <v>n.b.</v>
      </c>
      <c r="BC7" s="34" t="str">
        <f t="shared" si="18"/>
        <v>n.b.</v>
      </c>
    </row>
    <row r="8" spans="1:55" s="36" customFormat="1" x14ac:dyDescent="0.3">
      <c r="A8" s="53">
        <v>5</v>
      </c>
      <c r="B8" s="53" t="str">
        <f>WLs!C8</f>
        <v>Tochten FGIK</v>
      </c>
      <c r="C8" s="35"/>
      <c r="D8" s="35"/>
      <c r="E8" s="35"/>
      <c r="F8" s="35"/>
      <c r="G8" s="35"/>
      <c r="H8" s="35"/>
      <c r="I8" s="35"/>
      <c r="J8" s="35"/>
      <c r="K8" s="35"/>
      <c r="L8" s="35"/>
      <c r="M8" s="35"/>
      <c r="N8" s="35"/>
      <c r="O8" s="35"/>
      <c r="P8" s="54"/>
      <c r="Q8" s="54"/>
      <c r="R8" s="54"/>
      <c r="S8" s="54"/>
      <c r="T8" s="54"/>
      <c r="U8" s="55"/>
      <c r="V8" s="55"/>
      <c r="W8" s="56"/>
      <c r="X8" s="55"/>
      <c r="Y8" s="54"/>
      <c r="Z8" s="54"/>
      <c r="AA8" s="54"/>
      <c r="AB8" s="55"/>
      <c r="AC8" s="55"/>
      <c r="AD8" s="61"/>
      <c r="AE8" s="54" t="s">
        <v>162</v>
      </c>
      <c r="AF8" s="59" t="s">
        <v>304</v>
      </c>
      <c r="AH8" s="38"/>
      <c r="AI8" s="39"/>
      <c r="AJ8" s="39"/>
      <c r="AK8" s="40"/>
      <c r="AL8" s="40"/>
      <c r="AM8" s="40"/>
      <c r="AN8" s="40"/>
      <c r="AO8" s="40"/>
      <c r="AP8" s="40"/>
      <c r="AQ8" s="40"/>
      <c r="AR8" s="40"/>
      <c r="AS8" s="40"/>
      <c r="AT8" s="40"/>
      <c r="AU8" s="40"/>
      <c r="AV8" s="40"/>
      <c r="AW8" s="40"/>
      <c r="AX8" s="43" t="s">
        <v>163</v>
      </c>
      <c r="AY8" s="44" t="e">
        <f t="shared" si="19"/>
        <v>#REF!</v>
      </c>
      <c r="AZ8" s="34">
        <v>5</v>
      </c>
      <c r="BA8" s="34"/>
      <c r="BB8" s="34" t="str">
        <f t="shared" si="17"/>
        <v>n.b.</v>
      </c>
      <c r="BC8" s="34" t="str">
        <f t="shared" si="18"/>
        <v>n.b.</v>
      </c>
    </row>
    <row r="9" spans="1:55" s="36" customFormat="1" x14ac:dyDescent="0.3">
      <c r="A9" s="53">
        <v>6</v>
      </c>
      <c r="B9" s="53" t="str">
        <f>WLs!C9</f>
        <v>Tochten H</v>
      </c>
      <c r="C9" s="35"/>
      <c r="D9" s="35"/>
      <c r="E9" s="35"/>
      <c r="F9" s="35"/>
      <c r="G9" s="35"/>
      <c r="H9" s="35"/>
      <c r="I9" s="35"/>
      <c r="J9" s="35"/>
      <c r="K9" s="35"/>
      <c r="L9" s="35"/>
      <c r="M9" s="35"/>
      <c r="N9" s="35"/>
      <c r="O9" s="35"/>
      <c r="P9" s="54"/>
      <c r="Q9" s="54"/>
      <c r="R9" s="54"/>
      <c r="S9" s="54"/>
      <c r="T9" s="54"/>
      <c r="U9" s="55"/>
      <c r="V9" s="55"/>
      <c r="W9" s="56"/>
      <c r="X9" s="55"/>
      <c r="Y9" s="54"/>
      <c r="Z9" s="54"/>
      <c r="AA9" s="54"/>
      <c r="AB9" s="55"/>
      <c r="AC9" s="55"/>
      <c r="AD9" s="61"/>
      <c r="AE9" s="54" t="s">
        <v>162</v>
      </c>
      <c r="AF9" s="59" t="s">
        <v>304</v>
      </c>
      <c r="AH9" s="38"/>
      <c r="AI9" s="39"/>
      <c r="AJ9" s="39"/>
      <c r="AK9" s="40"/>
      <c r="AL9" s="40"/>
      <c r="AM9" s="40"/>
      <c r="AN9" s="40"/>
      <c r="AO9" s="40"/>
      <c r="AP9" s="40"/>
      <c r="AQ9" s="40"/>
      <c r="AR9" s="40"/>
      <c r="AS9" s="40"/>
      <c r="AT9" s="40"/>
      <c r="AU9" s="40"/>
      <c r="AV9" s="40"/>
      <c r="AW9" s="40"/>
      <c r="AX9" s="43" t="s">
        <v>163</v>
      </c>
      <c r="AY9" s="44" t="e">
        <f t="shared" si="19"/>
        <v>#REF!</v>
      </c>
      <c r="AZ9" s="34">
        <v>6</v>
      </c>
      <c r="BA9" s="34"/>
      <c r="BB9" s="34" t="str">
        <f t="shared" si="17"/>
        <v>n.b.</v>
      </c>
      <c r="BC9" s="34" t="str">
        <f t="shared" si="18"/>
        <v>n.b.</v>
      </c>
    </row>
    <row r="10" spans="1:55" s="36" customFormat="1" x14ac:dyDescent="0.3">
      <c r="A10" s="53">
        <v>7</v>
      </c>
      <c r="B10" s="53" t="str">
        <f>WLs!C10</f>
        <v>Tochten J</v>
      </c>
      <c r="C10" s="35"/>
      <c r="D10" s="35"/>
      <c r="E10" s="35"/>
      <c r="F10" s="35"/>
      <c r="G10" s="35"/>
      <c r="H10" s="35"/>
      <c r="I10" s="35"/>
      <c r="J10" s="35"/>
      <c r="K10" s="35"/>
      <c r="L10" s="35"/>
      <c r="M10" s="35"/>
      <c r="N10" s="35"/>
      <c r="O10" s="35"/>
      <c r="P10" s="54"/>
      <c r="Q10" s="54"/>
      <c r="R10" s="54"/>
      <c r="S10" s="54"/>
      <c r="T10" s="54"/>
      <c r="U10" s="55"/>
      <c r="V10" s="55"/>
      <c r="W10" s="56"/>
      <c r="X10" s="55"/>
      <c r="Y10" s="54"/>
      <c r="Z10" s="54"/>
      <c r="AA10" s="54"/>
      <c r="AB10" s="55"/>
      <c r="AC10" s="55"/>
      <c r="AD10" s="61"/>
      <c r="AE10" s="54" t="s">
        <v>162</v>
      </c>
      <c r="AF10" s="59" t="s">
        <v>304</v>
      </c>
      <c r="AH10" s="38"/>
      <c r="AI10" s="39"/>
      <c r="AJ10" s="39"/>
      <c r="AK10" s="40"/>
      <c r="AL10" s="40"/>
      <c r="AM10" s="40"/>
      <c r="AN10" s="40"/>
      <c r="AO10" s="40"/>
      <c r="AP10" s="40"/>
      <c r="AQ10" s="40"/>
      <c r="AR10" s="40"/>
      <c r="AS10" s="40"/>
      <c r="AT10" s="40"/>
      <c r="AU10" s="40"/>
      <c r="AV10" s="40"/>
      <c r="AW10" s="40"/>
      <c r="AX10" s="43" t="s">
        <v>163</v>
      </c>
      <c r="AY10" s="44" t="e">
        <f t="shared" si="19"/>
        <v>#REF!</v>
      </c>
      <c r="AZ10" s="34">
        <v>7</v>
      </c>
      <c r="BA10" s="34"/>
      <c r="BB10" s="34" t="str">
        <f t="shared" si="17"/>
        <v>n.b.</v>
      </c>
      <c r="BC10" s="34" t="str">
        <f t="shared" si="18"/>
        <v>n.b.</v>
      </c>
    </row>
    <row r="11" spans="1:55" s="36" customFormat="1" x14ac:dyDescent="0.3">
      <c r="A11" s="53">
        <v>8</v>
      </c>
      <c r="B11" s="53" t="str">
        <f>WLs!C11</f>
        <v>Tochten lage afdeling NOP</v>
      </c>
      <c r="C11" s="35"/>
      <c r="D11" s="35"/>
      <c r="E11" s="35"/>
      <c r="F11" s="35"/>
      <c r="G11" s="35"/>
      <c r="H11" s="35"/>
      <c r="I11" s="35"/>
      <c r="J11" s="35"/>
      <c r="K11" s="35"/>
      <c r="L11" s="35"/>
      <c r="M11" s="35"/>
      <c r="N11" s="35"/>
      <c r="O11" s="35"/>
      <c r="P11" s="54"/>
      <c r="Q11" s="54"/>
      <c r="R11" s="54"/>
      <c r="S11" s="54"/>
      <c r="T11" s="54"/>
      <c r="U11" s="55"/>
      <c r="V11" s="55"/>
      <c r="W11" s="56"/>
      <c r="X11" s="55"/>
      <c r="Y11" s="54"/>
      <c r="Z11" s="54"/>
      <c r="AA11" s="54"/>
      <c r="AB11" s="55"/>
      <c r="AC11" s="55"/>
      <c r="AD11" s="61"/>
      <c r="AE11" s="54" t="s">
        <v>162</v>
      </c>
      <c r="AF11" s="59" t="s">
        <v>304</v>
      </c>
      <c r="AH11" s="38"/>
      <c r="AI11" s="39"/>
      <c r="AJ11" s="39"/>
      <c r="AK11" s="40"/>
      <c r="AL11" s="40"/>
      <c r="AM11" s="40"/>
      <c r="AN11" s="40"/>
      <c r="AO11" s="40"/>
      <c r="AP11" s="40"/>
      <c r="AQ11" s="40"/>
      <c r="AR11" s="40"/>
      <c r="AS11" s="40"/>
      <c r="AT11" s="40"/>
      <c r="AU11" s="40"/>
      <c r="AV11" s="40"/>
      <c r="AW11" s="40"/>
      <c r="AX11" s="43" t="s">
        <v>163</v>
      </c>
      <c r="AY11" s="44" t="e">
        <f t="shared" si="19"/>
        <v>#REF!</v>
      </c>
      <c r="AZ11" s="34">
        <v>8</v>
      </c>
      <c r="BA11" s="34"/>
      <c r="BB11" s="34" t="str">
        <f t="shared" si="17"/>
        <v>n.b.</v>
      </c>
      <c r="BC11" s="34" t="str">
        <f t="shared" si="18"/>
        <v>n.b.</v>
      </c>
    </row>
    <row r="12" spans="1:55" s="36" customFormat="1" x14ac:dyDescent="0.3">
      <c r="A12" s="53">
        <v>9</v>
      </c>
      <c r="B12" s="53" t="str">
        <f>WLs!C12</f>
        <v>Tochten hoge afdeling NOP</v>
      </c>
      <c r="C12" s="35"/>
      <c r="D12" s="35"/>
      <c r="E12" s="35"/>
      <c r="F12" s="35"/>
      <c r="G12" s="35"/>
      <c r="H12" s="35"/>
      <c r="I12" s="35"/>
      <c r="J12" s="35"/>
      <c r="K12" s="35"/>
      <c r="L12" s="35"/>
      <c r="M12" s="35"/>
      <c r="N12" s="35"/>
      <c r="O12" s="35"/>
      <c r="P12" s="54"/>
      <c r="Q12" s="54"/>
      <c r="R12" s="54"/>
      <c r="S12" s="54"/>
      <c r="T12" s="54"/>
      <c r="U12" s="55"/>
      <c r="V12" s="55"/>
      <c r="W12" s="56"/>
      <c r="X12" s="55"/>
      <c r="Y12" s="54"/>
      <c r="Z12" s="54"/>
      <c r="AA12" s="54"/>
      <c r="AB12" s="55"/>
      <c r="AC12" s="55"/>
      <c r="AD12" s="61"/>
      <c r="AE12" s="54" t="s">
        <v>162</v>
      </c>
      <c r="AF12" s="59" t="s">
        <v>304</v>
      </c>
      <c r="AH12" s="38"/>
      <c r="AI12" s="39"/>
      <c r="AJ12" s="39"/>
      <c r="AK12" s="40"/>
      <c r="AL12" s="40"/>
      <c r="AM12" s="40"/>
      <c r="AN12" s="40"/>
      <c r="AO12" s="40"/>
      <c r="AP12" s="40"/>
      <c r="AQ12" s="40"/>
      <c r="AR12" s="40"/>
      <c r="AS12" s="40"/>
      <c r="AT12" s="40"/>
      <c r="AU12" s="40"/>
      <c r="AV12" s="40"/>
      <c r="AW12" s="40"/>
      <c r="AX12" s="43" t="s">
        <v>163</v>
      </c>
      <c r="AY12" s="44" t="e">
        <f t="shared" si="19"/>
        <v>#REF!</v>
      </c>
      <c r="AZ12" s="34">
        <v>9</v>
      </c>
      <c r="BA12" s="34"/>
      <c r="BB12" s="34" t="str">
        <f t="shared" si="17"/>
        <v>n.b.</v>
      </c>
      <c r="BC12" s="34" t="str">
        <f t="shared" si="18"/>
        <v>n.b.</v>
      </c>
    </row>
    <row r="13" spans="1:55" s="36" customFormat="1" ht="43.2" x14ac:dyDescent="0.3">
      <c r="A13" s="53">
        <v>10</v>
      </c>
      <c r="B13" s="53" t="str">
        <f>WLs!C13</f>
        <v>Vaarten NOP</v>
      </c>
      <c r="C13" s="35">
        <v>0.67700000000000005</v>
      </c>
      <c r="D13" s="35"/>
      <c r="E13" s="35"/>
      <c r="F13" s="35">
        <v>0.66800000000000004</v>
      </c>
      <c r="G13" s="35"/>
      <c r="H13" s="35"/>
      <c r="I13" s="35">
        <v>0.55400000000000005</v>
      </c>
      <c r="J13" s="35"/>
      <c r="K13" s="35"/>
      <c r="L13" s="35">
        <v>0.77500000000000002</v>
      </c>
      <c r="M13" s="35"/>
      <c r="N13" s="35"/>
      <c r="O13" s="35">
        <v>0.60099999999999998</v>
      </c>
      <c r="P13" s="54">
        <v>0.61</v>
      </c>
      <c r="Q13" s="59" t="s">
        <v>305</v>
      </c>
      <c r="R13" s="54"/>
      <c r="S13" s="54"/>
      <c r="T13" s="54">
        <f>VLOOKUP(A13,WLs!$A$4:$G$23,7,FALSE)</f>
        <v>0.6</v>
      </c>
      <c r="U13" s="55">
        <v>0.61099999999999999</v>
      </c>
      <c r="V13" s="55">
        <v>1.0000000000000009E-3</v>
      </c>
      <c r="W13" s="56" t="s">
        <v>305</v>
      </c>
      <c r="X13" s="55">
        <v>0.61</v>
      </c>
      <c r="Y13" s="54">
        <v>0.67</v>
      </c>
      <c r="Z13" s="74">
        <v>0.69</v>
      </c>
      <c r="AA13" s="54">
        <v>0.63</v>
      </c>
      <c r="AB13" s="55">
        <v>0.68799999999999994</v>
      </c>
      <c r="AC13" s="55">
        <f t="shared" ref="AC13:AC23" si="20">AI13</f>
        <v>-1.500000000000005E-3</v>
      </c>
      <c r="AD13" s="61">
        <f t="shared" ref="AD13:AD23" si="21">AJ13</f>
        <v>2.8146989835809419E-2</v>
      </c>
      <c r="AE13" s="54">
        <v>0.6</v>
      </c>
      <c r="AF13" s="59" t="s">
        <v>306</v>
      </c>
      <c r="AH13" s="38">
        <f t="shared" ref="AH13:AH23" si="22">AVERAGE(C13:O13)</f>
        <v>0.65500000000000003</v>
      </c>
      <c r="AI13" s="39">
        <f>SLOPE(C13:O13,C$3:O$3)</f>
        <v>-1.500000000000005E-3</v>
      </c>
      <c r="AJ13" s="39">
        <f t="shared" ref="AJ13:AJ23" si="23">RSQ(AK13:AW13,AK$3:AW$3)</f>
        <v>2.8146989835809419E-2</v>
      </c>
      <c r="AK13" s="40">
        <f t="shared" ref="AK13:AK23" si="24">IF(C13="","",C13-$AH13+AK$2*$AI13)</f>
        <v>3.1000000000000048E-2</v>
      </c>
      <c r="AL13" s="40" t="str">
        <f t="shared" ref="AL13:AL23" si="25">IF(D13="","",D13-$AH13+AL$2*$AI13)</f>
        <v/>
      </c>
      <c r="AM13" s="40" t="str">
        <f t="shared" ref="AM13:AM23" si="26">IF(E13="","",E13-$AH13+AM$2*$AI13)</f>
        <v/>
      </c>
      <c r="AN13" s="40">
        <f t="shared" ref="AN13:AN23" si="27">IF(F13="","",F13-$AH13+AN$2*$AI13)</f>
        <v>1.7500000000000026E-2</v>
      </c>
      <c r="AO13" s="40" t="str">
        <f t="shared" ref="AO13:AO23" si="28">IF(G13="","",G13-$AH13+AO$2*$AI13)</f>
        <v/>
      </c>
      <c r="AP13" s="40" t="str">
        <f t="shared" ref="AP13:AP23" si="29">IF(H13="","",H13-$AH13+AP$2*$AI13)</f>
        <v/>
      </c>
      <c r="AQ13" s="40">
        <f t="shared" ref="AQ13:AQ23" si="30">IF(I13="","",I13-$AH13+AQ$2*$AI13)</f>
        <v>-0.10099999999999998</v>
      </c>
      <c r="AR13" s="40" t="str">
        <f t="shared" ref="AR13:AR23" si="31">IF(J13="","",J13-$AH13+AR$2*$AI13)</f>
        <v/>
      </c>
      <c r="AS13" s="40" t="str">
        <f t="shared" ref="AS13:AS23" si="32">IF(K13="","",K13-$AH13+AS$2*$AI13)</f>
        <v/>
      </c>
      <c r="AT13" s="40">
        <f t="shared" ref="AT13:AT23" si="33">IF(L13="","",L13-$AH13+AT$2*$AI13)</f>
        <v>0.11549999999999998</v>
      </c>
      <c r="AU13" s="40" t="str">
        <f t="shared" ref="AU13:AU23" si="34">IF(M13="","",M13-$AH13+AU$2*$AI13)</f>
        <v/>
      </c>
      <c r="AV13" s="40" t="str">
        <f t="shared" ref="AV13:AV23" si="35">IF(N13="","",N13-$AH13+AV$2*$AI13)</f>
        <v/>
      </c>
      <c r="AW13" s="40">
        <f t="shared" ref="AW13:AW23" si="36">IF(O13="","",O13-$AH13+AW$2*$AI13)</f>
        <v>-6.3000000000000084E-2</v>
      </c>
      <c r="AX13" s="41" t="s">
        <v>165</v>
      </c>
      <c r="AY13" s="42">
        <f>_xlfn.STDEV.S(AK13:AW15)</f>
        <v>9.8485432311042218E-2</v>
      </c>
      <c r="AZ13" s="34">
        <v>10</v>
      </c>
      <c r="BA13" s="34">
        <v>1</v>
      </c>
      <c r="BB13" s="34" t="str">
        <f t="shared" si="17"/>
        <v>Landelijke tussenevaluatie</v>
      </c>
      <c r="BC13" s="34">
        <f t="shared" si="18"/>
        <v>0.69</v>
      </c>
    </row>
    <row r="14" spans="1:55" s="36" customFormat="1" ht="78" customHeight="1" x14ac:dyDescent="0.3">
      <c r="A14" s="53">
        <v>11</v>
      </c>
      <c r="B14" s="53" t="str">
        <f>WLs!C14</f>
        <v>Vaarten hoge afdeling ZOF</v>
      </c>
      <c r="C14" s="35"/>
      <c r="D14" s="35">
        <v>0.77200000000000002</v>
      </c>
      <c r="E14" s="35"/>
      <c r="F14" s="35"/>
      <c r="G14" s="35">
        <v>0.66200000000000003</v>
      </c>
      <c r="H14" s="35"/>
      <c r="I14" s="35"/>
      <c r="J14" s="35">
        <v>0.59699999999999998</v>
      </c>
      <c r="K14" s="35"/>
      <c r="L14" s="35"/>
      <c r="M14" s="35">
        <v>0.626</v>
      </c>
      <c r="N14" s="35"/>
      <c r="O14" s="35"/>
      <c r="P14" s="54">
        <v>0.72</v>
      </c>
      <c r="Q14" s="59" t="s">
        <v>305</v>
      </c>
      <c r="R14" s="54"/>
      <c r="S14" s="54"/>
      <c r="T14" s="54">
        <f>VLOOKUP(A14,WLs!$A$4:$G$23,7,FALSE)</f>
        <v>0.6</v>
      </c>
      <c r="U14" s="55">
        <v>0.71699999999999997</v>
      </c>
      <c r="V14" s="55">
        <v>-3.0000000000000027E-3</v>
      </c>
      <c r="W14" s="56" t="s">
        <v>305</v>
      </c>
      <c r="X14" s="55">
        <v>0.72</v>
      </c>
      <c r="Y14" s="54">
        <v>0.62</v>
      </c>
      <c r="Z14" s="54">
        <v>0.63</v>
      </c>
      <c r="AA14" s="74">
        <v>0.63</v>
      </c>
      <c r="AB14" s="55">
        <v>0.61</v>
      </c>
      <c r="AC14" s="55">
        <f t="shared" si="20"/>
        <v>-1.6766666666666669E-2</v>
      </c>
      <c r="AD14" s="61">
        <f t="shared" si="21"/>
        <v>0.91088905729936398</v>
      </c>
      <c r="AE14" s="54">
        <v>0.6</v>
      </c>
      <c r="AF14" s="59" t="s">
        <v>307</v>
      </c>
      <c r="AH14" s="38">
        <f t="shared" si="22"/>
        <v>0.66425000000000001</v>
      </c>
      <c r="AI14" s="39">
        <f>SLOPE(C14:O14,C$3:O$3)</f>
        <v>-1.6766666666666669E-2</v>
      </c>
      <c r="AJ14" s="39">
        <f t="shared" si="23"/>
        <v>0.91088905729936398</v>
      </c>
      <c r="AK14" s="40" t="str">
        <f t="shared" si="24"/>
        <v/>
      </c>
      <c r="AL14" s="40">
        <f t="shared" si="25"/>
        <v>0.19158333333333336</v>
      </c>
      <c r="AM14" s="40" t="str">
        <f t="shared" si="26"/>
        <v/>
      </c>
      <c r="AN14" s="40" t="str">
        <f t="shared" si="27"/>
        <v/>
      </c>
      <c r="AO14" s="40">
        <f t="shared" si="28"/>
        <v>3.1283333333333364E-2</v>
      </c>
      <c r="AP14" s="40" t="str">
        <f t="shared" si="29"/>
        <v/>
      </c>
      <c r="AQ14" s="40" t="str">
        <f t="shared" si="30"/>
        <v/>
      </c>
      <c r="AR14" s="40">
        <f t="shared" si="31"/>
        <v>-8.4016666666666698E-2</v>
      </c>
      <c r="AS14" s="40" t="str">
        <f t="shared" si="32"/>
        <v/>
      </c>
      <c r="AT14" s="40" t="str">
        <f t="shared" si="33"/>
        <v/>
      </c>
      <c r="AU14" s="40">
        <f t="shared" si="34"/>
        <v>-0.10531666666666668</v>
      </c>
      <c r="AV14" s="40" t="str">
        <f t="shared" si="35"/>
        <v/>
      </c>
      <c r="AW14" s="40" t="str">
        <f t="shared" si="36"/>
        <v/>
      </c>
      <c r="AX14" s="45" t="s">
        <v>165</v>
      </c>
      <c r="AY14" s="44">
        <f>AY13</f>
        <v>9.8485432311042218E-2</v>
      </c>
      <c r="AZ14" s="34">
        <v>11</v>
      </c>
      <c r="BA14" s="34">
        <v>2</v>
      </c>
      <c r="BB14" s="34" t="str">
        <f t="shared" si="17"/>
        <v>Berekening met concentratie nutriënten gelijk aan norm</v>
      </c>
      <c r="BC14" s="34">
        <f t="shared" si="18"/>
        <v>0.63</v>
      </c>
    </row>
    <row r="15" spans="1:55" s="36" customFormat="1" ht="61.5" customHeight="1" x14ac:dyDescent="0.3">
      <c r="A15" s="53">
        <v>12</v>
      </c>
      <c r="B15" s="53" t="str">
        <f>WLs!C15</f>
        <v>Vaarten lage afdeling ZOF</v>
      </c>
      <c r="C15" s="35"/>
      <c r="D15" s="35"/>
      <c r="E15" s="35">
        <v>0.44700000000000001</v>
      </c>
      <c r="F15" s="35"/>
      <c r="G15" s="35"/>
      <c r="H15" s="35">
        <v>0.66300000000000003</v>
      </c>
      <c r="I15" s="35"/>
      <c r="J15" s="35"/>
      <c r="K15" s="35">
        <v>0.50800000000000001</v>
      </c>
      <c r="L15" s="35"/>
      <c r="M15" s="35"/>
      <c r="N15" s="35">
        <v>0.56799999999999995</v>
      </c>
      <c r="O15" s="35"/>
      <c r="P15" s="54">
        <v>0.49</v>
      </c>
      <c r="Q15" s="59" t="s">
        <v>305</v>
      </c>
      <c r="R15" s="54"/>
      <c r="S15" s="54">
        <v>0.01</v>
      </c>
      <c r="T15" s="54">
        <f>VLOOKUP(A15,WLs!$A$4:$G$23,7,FALSE)</f>
        <v>0.5</v>
      </c>
      <c r="U15" s="55">
        <v>0.55500000000000005</v>
      </c>
      <c r="V15" s="55">
        <v>6.5000000000000058E-2</v>
      </c>
      <c r="W15" s="56" t="s">
        <v>305</v>
      </c>
      <c r="X15" s="55">
        <v>0.56000000000000005</v>
      </c>
      <c r="Y15" s="54">
        <v>0.59</v>
      </c>
      <c r="Z15" s="74">
        <v>0.6</v>
      </c>
      <c r="AA15" s="54">
        <v>0.52</v>
      </c>
      <c r="AB15" s="55">
        <v>0.53800000000000003</v>
      </c>
      <c r="AC15" s="55">
        <f t="shared" si="20"/>
        <v>6.9333333333333261E-3</v>
      </c>
      <c r="AD15" s="61">
        <f t="shared" si="21"/>
        <v>0.2711915403082743</v>
      </c>
      <c r="AE15" s="54">
        <v>0.53</v>
      </c>
      <c r="AF15" s="59" t="s">
        <v>308</v>
      </c>
      <c r="AH15" s="38">
        <f t="shared" si="22"/>
        <v>0.54649999999999999</v>
      </c>
      <c r="AI15" s="39">
        <f>SLOPE(C15:O15,C$3:O$3)</f>
        <v>6.9333333333333261E-3</v>
      </c>
      <c r="AJ15" s="39">
        <f t="shared" si="23"/>
        <v>0.2711915403082743</v>
      </c>
      <c r="AK15" s="40" t="str">
        <f t="shared" si="24"/>
        <v/>
      </c>
      <c r="AL15" s="40" t="str">
        <f t="shared" si="25"/>
        <v/>
      </c>
      <c r="AM15" s="40">
        <f t="shared" si="26"/>
        <v>-0.12723333333333328</v>
      </c>
      <c r="AN15" s="40" t="str">
        <f t="shared" si="27"/>
        <v/>
      </c>
      <c r="AO15" s="40" t="str">
        <f t="shared" si="28"/>
        <v/>
      </c>
      <c r="AP15" s="40">
        <f t="shared" si="29"/>
        <v>0.10956666666666673</v>
      </c>
      <c r="AQ15" s="40" t="str">
        <f t="shared" si="30"/>
        <v/>
      </c>
      <c r="AR15" s="40" t="str">
        <f t="shared" si="31"/>
        <v/>
      </c>
      <c r="AS15" s="40">
        <f t="shared" si="32"/>
        <v>-2.4633333333333327E-2</v>
      </c>
      <c r="AT15" s="40" t="str">
        <f t="shared" si="33"/>
        <v/>
      </c>
      <c r="AU15" s="40" t="str">
        <f t="shared" si="34"/>
        <v/>
      </c>
      <c r="AV15" s="40">
        <f t="shared" si="35"/>
        <v>5.6166666666666594E-2</v>
      </c>
      <c r="AW15" s="40" t="str">
        <f t="shared" si="36"/>
        <v/>
      </c>
      <c r="AX15" s="45" t="s">
        <v>165</v>
      </c>
      <c r="AY15" s="44">
        <f>AY14</f>
        <v>9.8485432311042218E-2</v>
      </c>
      <c r="AZ15" s="34">
        <v>12</v>
      </c>
      <c r="BA15" s="34">
        <v>1</v>
      </c>
      <c r="BB15" s="34" t="str">
        <f t="shared" si="17"/>
        <v>Landelijke tussenevaluatie</v>
      </c>
      <c r="BC15" s="34">
        <f t="shared" si="18"/>
        <v>0.6</v>
      </c>
    </row>
    <row r="16" spans="1:55" s="36" customFormat="1" ht="63" customHeight="1" x14ac:dyDescent="0.3">
      <c r="A16" s="53">
        <v>13</v>
      </c>
      <c r="B16" s="53" t="str">
        <f>WLs!C16</f>
        <v>Bovenwater</v>
      </c>
      <c r="C16" s="35"/>
      <c r="D16" s="35">
        <v>0.30499999999999999</v>
      </c>
      <c r="E16" s="35"/>
      <c r="F16" s="35"/>
      <c r="G16" s="35">
        <v>0.20499999999999999</v>
      </c>
      <c r="H16" s="35"/>
      <c r="I16" s="35"/>
      <c r="J16" s="35">
        <v>0.24099999999999999</v>
      </c>
      <c r="K16" s="35"/>
      <c r="L16" s="35"/>
      <c r="M16" s="35">
        <v>0.436</v>
      </c>
      <c r="N16" s="35"/>
      <c r="O16" s="35"/>
      <c r="P16" s="54">
        <v>0.26</v>
      </c>
      <c r="Q16" s="59" t="s">
        <v>305</v>
      </c>
      <c r="R16" s="54">
        <v>0.26</v>
      </c>
      <c r="S16" s="54">
        <v>-0.06</v>
      </c>
      <c r="T16" s="54">
        <f>VLOOKUP(A16,WLs!$A$4:$G$23,7,FALSE)</f>
        <v>0.2</v>
      </c>
      <c r="U16" s="55">
        <v>0.255</v>
      </c>
      <c r="V16" s="55">
        <v>0</v>
      </c>
      <c r="W16" s="56" t="s">
        <v>305</v>
      </c>
      <c r="X16" s="55">
        <v>0.26</v>
      </c>
      <c r="Y16" s="54">
        <v>0.33</v>
      </c>
      <c r="Z16" s="54">
        <v>0.22</v>
      </c>
      <c r="AA16" s="74">
        <v>0.22</v>
      </c>
      <c r="AB16" s="55">
        <v>0.33850000000000002</v>
      </c>
      <c r="AC16" s="55">
        <f t="shared" si="20"/>
        <v>1.4300000000000002E-2</v>
      </c>
      <c r="AD16" s="61">
        <f t="shared" si="21"/>
        <v>0.62822383680742244</v>
      </c>
      <c r="AE16" s="54">
        <v>0.23</v>
      </c>
      <c r="AF16" s="59" t="s">
        <v>309</v>
      </c>
      <c r="AH16" s="38">
        <f t="shared" si="22"/>
        <v>0.29675000000000001</v>
      </c>
      <c r="AI16" s="39">
        <f>SLOPE(C16:O16,C$3:O$3)</f>
        <v>1.4300000000000002E-2</v>
      </c>
      <c r="AJ16" s="39">
        <f t="shared" si="23"/>
        <v>0.62822383680742244</v>
      </c>
      <c r="AK16" s="40" t="str">
        <f t="shared" si="24"/>
        <v/>
      </c>
      <c r="AL16" s="40">
        <f t="shared" si="25"/>
        <v>-6.3250000000000028E-2</v>
      </c>
      <c r="AM16" s="40" t="str">
        <f t="shared" si="26"/>
        <v/>
      </c>
      <c r="AN16" s="40" t="str">
        <f t="shared" si="27"/>
        <v/>
      </c>
      <c r="AO16" s="40">
        <f t="shared" si="28"/>
        <v>-0.12035000000000003</v>
      </c>
      <c r="AP16" s="40" t="str">
        <f t="shared" si="29"/>
        <v/>
      </c>
      <c r="AQ16" s="40" t="str">
        <f t="shared" si="30"/>
        <v/>
      </c>
      <c r="AR16" s="40">
        <f t="shared" si="31"/>
        <v>-4.1450000000000022E-2</v>
      </c>
      <c r="AS16" s="40" t="str">
        <f t="shared" si="32"/>
        <v/>
      </c>
      <c r="AT16" s="40" t="str">
        <f t="shared" si="33"/>
        <v/>
      </c>
      <c r="AU16" s="40">
        <f t="shared" si="34"/>
        <v>0.19644999999999999</v>
      </c>
      <c r="AV16" s="40" t="str">
        <f t="shared" si="35"/>
        <v/>
      </c>
      <c r="AW16" s="40" t="str">
        <f t="shared" si="36"/>
        <v/>
      </c>
      <c r="AX16" s="41" t="s">
        <v>166</v>
      </c>
      <c r="AY16" s="42">
        <f>_xlfn.STDEV.S(AK16:AW19,AK21:AW22)</f>
        <v>0.12741037187583459</v>
      </c>
      <c r="AZ16" s="34">
        <v>13</v>
      </c>
      <c r="BA16" s="34">
        <v>2</v>
      </c>
      <c r="BB16" s="34" t="str">
        <f t="shared" si="17"/>
        <v>Berekening met concentratie nutriënten gelijk aan norm</v>
      </c>
      <c r="BC16" s="34">
        <f t="shared" si="18"/>
        <v>0.22</v>
      </c>
    </row>
    <row r="17" spans="1:55" s="36" customFormat="1" ht="62.25" customHeight="1" x14ac:dyDescent="0.3">
      <c r="A17" s="53">
        <v>14</v>
      </c>
      <c r="B17" s="53" t="str">
        <f>WLs!C17</f>
        <v>Harderbroek (oude deel)</v>
      </c>
      <c r="C17" s="35">
        <v>0.17799999999999999</v>
      </c>
      <c r="D17" s="35"/>
      <c r="E17" s="35"/>
      <c r="F17" s="35">
        <v>0.26</v>
      </c>
      <c r="G17" s="35"/>
      <c r="H17" s="35"/>
      <c r="I17" s="35">
        <v>0.1</v>
      </c>
      <c r="J17" s="35"/>
      <c r="K17" s="35"/>
      <c r="L17" s="35">
        <v>0.188</v>
      </c>
      <c r="M17" s="35"/>
      <c r="N17" s="35"/>
      <c r="O17" s="35"/>
      <c r="P17" s="54">
        <v>0.18</v>
      </c>
      <c r="Q17" s="59" t="s">
        <v>310</v>
      </c>
      <c r="R17" s="54"/>
      <c r="S17" s="54"/>
      <c r="T17" s="54">
        <f>VLOOKUP(A17,WLs!$A$4:$G$23,7,FALSE)</f>
        <v>0.5</v>
      </c>
      <c r="U17" s="55">
        <v>0.18</v>
      </c>
      <c r="V17" s="55">
        <v>0</v>
      </c>
      <c r="W17" s="56" t="s">
        <v>311</v>
      </c>
      <c r="X17" s="55">
        <v>0.5</v>
      </c>
      <c r="Y17" s="54">
        <v>0.14000000000000001</v>
      </c>
      <c r="Z17" s="54">
        <v>0.13</v>
      </c>
      <c r="AA17" s="74">
        <v>7.0000000000000007E-2</v>
      </c>
      <c r="AB17" s="55" t="s">
        <v>312</v>
      </c>
      <c r="AC17" s="55">
        <f t="shared" si="20"/>
        <v>0</v>
      </c>
      <c r="AD17" s="61">
        <f t="shared" si="21"/>
        <v>6.5712730383389026E-2</v>
      </c>
      <c r="AE17" s="54">
        <v>0.5</v>
      </c>
      <c r="AF17" s="59" t="s">
        <v>313</v>
      </c>
      <c r="AH17" s="38">
        <f t="shared" si="22"/>
        <v>0.18149999999999999</v>
      </c>
      <c r="AI17" s="39"/>
      <c r="AJ17" s="39">
        <f t="shared" si="23"/>
        <v>6.5712730383389026E-2</v>
      </c>
      <c r="AK17" s="40">
        <f t="shared" si="24"/>
        <v>-3.5000000000000031E-3</v>
      </c>
      <c r="AL17" s="40" t="str">
        <f t="shared" si="25"/>
        <v/>
      </c>
      <c r="AM17" s="40" t="str">
        <f t="shared" si="26"/>
        <v/>
      </c>
      <c r="AN17" s="40">
        <f t="shared" si="27"/>
        <v>7.8500000000000014E-2</v>
      </c>
      <c r="AO17" s="40" t="str">
        <f t="shared" si="28"/>
        <v/>
      </c>
      <c r="AP17" s="40" t="str">
        <f t="shared" si="29"/>
        <v/>
      </c>
      <c r="AQ17" s="40">
        <f t="shared" si="30"/>
        <v>-8.1499999999999989E-2</v>
      </c>
      <c r="AR17" s="40" t="str">
        <f t="shared" si="31"/>
        <v/>
      </c>
      <c r="AS17" s="40" t="str">
        <f t="shared" si="32"/>
        <v/>
      </c>
      <c r="AT17" s="40">
        <f t="shared" si="33"/>
        <v>6.5000000000000058E-3</v>
      </c>
      <c r="AU17" s="40" t="str">
        <f t="shared" si="34"/>
        <v/>
      </c>
      <c r="AV17" s="40" t="str">
        <f t="shared" si="35"/>
        <v/>
      </c>
      <c r="AW17" s="40" t="str">
        <f t="shared" si="36"/>
        <v/>
      </c>
      <c r="AX17" s="45" t="s">
        <v>166</v>
      </c>
      <c r="AY17" s="44">
        <f>AY16</f>
        <v>0.12741037187583459</v>
      </c>
      <c r="AZ17" s="34">
        <v>14</v>
      </c>
      <c r="BA17" s="34">
        <v>2</v>
      </c>
      <c r="BB17" s="34" t="str">
        <f t="shared" si="17"/>
        <v>Berekening met concentratie nutriënten gelijk aan norm</v>
      </c>
      <c r="BC17" s="34">
        <f t="shared" si="18"/>
        <v>7.0000000000000007E-2</v>
      </c>
    </row>
    <row r="18" spans="1:55" s="36" customFormat="1" ht="93" customHeight="1" x14ac:dyDescent="0.3">
      <c r="A18" s="53">
        <v>15</v>
      </c>
      <c r="B18" s="53" t="str">
        <f>WLs!C18</f>
        <v>Harderbroek Roerdomp</v>
      </c>
      <c r="C18" s="35">
        <v>0.36099999999999999</v>
      </c>
      <c r="D18" s="35"/>
      <c r="E18" s="35"/>
      <c r="F18" s="35">
        <v>0.27300000000000002</v>
      </c>
      <c r="G18" s="35"/>
      <c r="H18" s="35"/>
      <c r="I18" s="35">
        <v>0.12</v>
      </c>
      <c r="J18" s="35"/>
      <c r="K18" s="35"/>
      <c r="L18" s="35">
        <v>0.11700000000000001</v>
      </c>
      <c r="M18" s="35"/>
      <c r="N18" s="35"/>
      <c r="O18" s="35">
        <v>0.15</v>
      </c>
      <c r="P18" s="54">
        <v>0.2</v>
      </c>
      <c r="Q18" s="59" t="s">
        <v>305</v>
      </c>
      <c r="R18" s="54"/>
      <c r="S18" s="54"/>
      <c r="T18" s="54">
        <f>VLOOKUP(A18,WLs!$A$4:$G$23,7,FALSE)</f>
        <v>0.2</v>
      </c>
      <c r="U18" s="55">
        <v>0.19650000000000001</v>
      </c>
      <c r="V18" s="55">
        <v>-3.5000000000000031E-3</v>
      </c>
      <c r="W18" s="56" t="s">
        <v>314</v>
      </c>
      <c r="X18" s="55">
        <v>0.2</v>
      </c>
      <c r="Y18" s="54">
        <v>0.12</v>
      </c>
      <c r="Z18" s="54">
        <v>0.13</v>
      </c>
      <c r="AA18" s="74">
        <v>7.0000000000000007E-2</v>
      </c>
      <c r="AB18" s="55">
        <v>0.13350000000000001</v>
      </c>
      <c r="AC18" s="55">
        <f t="shared" si="20"/>
        <v>-1.9266666666666665E-2</v>
      </c>
      <c r="AD18" s="61">
        <f t="shared" si="21"/>
        <v>0.90798499755394912</v>
      </c>
      <c r="AE18" s="54">
        <v>0.2</v>
      </c>
      <c r="AF18" s="59" t="s">
        <v>315</v>
      </c>
      <c r="AH18" s="38">
        <f t="shared" si="22"/>
        <v>0.20419999999999999</v>
      </c>
      <c r="AI18" s="39">
        <f>SLOPE(C18:O18,C$3:O$3)</f>
        <v>-1.9266666666666665E-2</v>
      </c>
      <c r="AJ18" s="39">
        <f t="shared" si="23"/>
        <v>0.90798499755394912</v>
      </c>
      <c r="AK18" s="40">
        <f t="shared" si="24"/>
        <v>0.27239999999999998</v>
      </c>
      <c r="AL18" s="40" t="str">
        <f t="shared" si="25"/>
        <v/>
      </c>
      <c r="AM18" s="40" t="str">
        <f t="shared" si="26"/>
        <v/>
      </c>
      <c r="AN18" s="40">
        <f t="shared" si="27"/>
        <v>0.12660000000000002</v>
      </c>
      <c r="AO18" s="40" t="str">
        <f t="shared" si="28"/>
        <v/>
      </c>
      <c r="AP18" s="40" t="str">
        <f t="shared" si="29"/>
        <v/>
      </c>
      <c r="AQ18" s="40">
        <f t="shared" si="30"/>
        <v>-8.4199999999999997E-2</v>
      </c>
      <c r="AR18" s="40" t="str">
        <f t="shared" si="31"/>
        <v/>
      </c>
      <c r="AS18" s="40" t="str">
        <f t="shared" si="32"/>
        <v/>
      </c>
      <c r="AT18" s="40">
        <f t="shared" si="33"/>
        <v>-0.14499999999999996</v>
      </c>
      <c r="AU18" s="40" t="str">
        <f t="shared" si="34"/>
        <v/>
      </c>
      <c r="AV18" s="40" t="str">
        <f t="shared" si="35"/>
        <v/>
      </c>
      <c r="AW18" s="40">
        <f t="shared" si="36"/>
        <v>-0.16979999999999998</v>
      </c>
      <c r="AX18" s="45" t="s">
        <v>166</v>
      </c>
      <c r="AY18" s="44">
        <f t="shared" ref="AY18:AY19" si="37">AY17</f>
        <v>0.12741037187583459</v>
      </c>
      <c r="AZ18" s="34">
        <v>15</v>
      </c>
      <c r="BA18" s="34">
        <v>2</v>
      </c>
      <c r="BB18" s="34" t="str">
        <f t="shared" si="17"/>
        <v>Berekening met concentratie nutriënten gelijk aan norm</v>
      </c>
      <c r="BC18" s="34">
        <f t="shared" si="18"/>
        <v>7.0000000000000007E-2</v>
      </c>
    </row>
    <row r="19" spans="1:55" s="36" customFormat="1" ht="62.25" customHeight="1" x14ac:dyDescent="0.3">
      <c r="A19" s="53">
        <v>16</v>
      </c>
      <c r="B19" s="53" t="str">
        <f>WLs!C19</f>
        <v>Lepelaarplassen</v>
      </c>
      <c r="C19" s="35"/>
      <c r="D19" s="35"/>
      <c r="E19" s="35">
        <v>1</v>
      </c>
      <c r="F19" s="35"/>
      <c r="G19" s="35"/>
      <c r="H19" s="35">
        <v>1</v>
      </c>
      <c r="I19" s="35"/>
      <c r="J19" s="35">
        <v>0.58699999999999997</v>
      </c>
      <c r="K19" s="35"/>
      <c r="L19" s="35"/>
      <c r="M19" s="35"/>
      <c r="N19" s="35">
        <v>0.98799999999999999</v>
      </c>
      <c r="O19" s="35"/>
      <c r="P19" s="81" t="s">
        <v>316</v>
      </c>
      <c r="Q19" s="59" t="s">
        <v>305</v>
      </c>
      <c r="R19" s="54"/>
      <c r="S19" s="54"/>
      <c r="T19" s="54">
        <f>VLOOKUP(A19,WLs!$A$4:$G$23,7,FALSE)</f>
        <v>0.5</v>
      </c>
      <c r="U19" s="82" t="s">
        <v>317</v>
      </c>
      <c r="V19" s="55">
        <v>3.6999999999999922E-2</v>
      </c>
      <c r="W19" s="56" t="s">
        <v>314</v>
      </c>
      <c r="X19" s="55">
        <v>0.59</v>
      </c>
      <c r="Y19" s="54">
        <v>0.8</v>
      </c>
      <c r="Z19" s="74">
        <v>0.8</v>
      </c>
      <c r="AA19" s="54">
        <v>0.68</v>
      </c>
      <c r="AB19" s="55">
        <v>0.78749999999999998</v>
      </c>
      <c r="AC19" s="55">
        <f t="shared" si="20"/>
        <v>0</v>
      </c>
      <c r="AD19" s="61">
        <f t="shared" si="21"/>
        <v>2.5059018709614755E-2</v>
      </c>
      <c r="AE19" s="54">
        <v>0.5</v>
      </c>
      <c r="AF19" s="59" t="s">
        <v>318</v>
      </c>
      <c r="AH19" s="38">
        <f t="shared" si="22"/>
        <v>0.89374999999999993</v>
      </c>
      <c r="AI19" s="39"/>
      <c r="AJ19" s="39">
        <f t="shared" si="23"/>
        <v>2.5059018709614755E-2</v>
      </c>
      <c r="AK19" s="40" t="str">
        <f t="shared" si="24"/>
        <v/>
      </c>
      <c r="AL19" s="40" t="str">
        <f t="shared" si="25"/>
        <v/>
      </c>
      <c r="AM19" s="40">
        <f t="shared" si="26"/>
        <v>0.10625000000000007</v>
      </c>
      <c r="AN19" s="40" t="str">
        <f t="shared" si="27"/>
        <v/>
      </c>
      <c r="AO19" s="40" t="str">
        <f t="shared" si="28"/>
        <v/>
      </c>
      <c r="AP19" s="40">
        <f t="shared" si="29"/>
        <v>0.10625000000000007</v>
      </c>
      <c r="AQ19" s="40" t="str">
        <f t="shared" si="30"/>
        <v/>
      </c>
      <c r="AR19" s="40">
        <f t="shared" si="31"/>
        <v>-0.30674999999999997</v>
      </c>
      <c r="AS19" s="40" t="str">
        <f t="shared" si="32"/>
        <v/>
      </c>
      <c r="AT19" s="40" t="str">
        <f t="shared" si="33"/>
        <v/>
      </c>
      <c r="AU19" s="40" t="str">
        <f t="shared" si="34"/>
        <v/>
      </c>
      <c r="AV19" s="40">
        <f t="shared" si="35"/>
        <v>9.4250000000000056E-2</v>
      </c>
      <c r="AW19" s="40" t="str">
        <f t="shared" si="36"/>
        <v/>
      </c>
      <c r="AX19" s="45" t="s">
        <v>166</v>
      </c>
      <c r="AY19" s="44">
        <f t="shared" si="37"/>
        <v>0.12741037187583459</v>
      </c>
      <c r="AZ19" s="34">
        <v>16</v>
      </c>
      <c r="BA19" s="34">
        <v>1</v>
      </c>
      <c r="BB19" s="34" t="str">
        <f t="shared" si="17"/>
        <v>Landelijke tussenevaluatie</v>
      </c>
      <c r="BC19" s="34">
        <f t="shared" si="18"/>
        <v>0.8</v>
      </c>
    </row>
    <row r="20" spans="1:55" s="36" customFormat="1" ht="30.75" customHeight="1" x14ac:dyDescent="0.3">
      <c r="A20" s="53">
        <v>17</v>
      </c>
      <c r="B20" s="53" t="str">
        <f>WLs!C20</f>
        <v>Noorderplassen</v>
      </c>
      <c r="C20" s="35"/>
      <c r="D20" s="35"/>
      <c r="E20" s="35">
        <v>0.874</v>
      </c>
      <c r="F20" s="35"/>
      <c r="G20" s="35"/>
      <c r="H20" s="35">
        <v>0.83199999999999996</v>
      </c>
      <c r="I20" s="35"/>
      <c r="J20" s="35"/>
      <c r="K20" s="35">
        <v>0.65700000000000003</v>
      </c>
      <c r="L20" s="35"/>
      <c r="M20" s="35"/>
      <c r="N20" s="35">
        <v>0.73699999999999999</v>
      </c>
      <c r="O20" s="35"/>
      <c r="P20" s="54">
        <v>0.85</v>
      </c>
      <c r="Q20" s="59" t="s">
        <v>305</v>
      </c>
      <c r="R20" s="54"/>
      <c r="S20" s="54"/>
      <c r="T20" s="54">
        <f>VLOOKUP(A20,WLs!$A$4:$G$23,7,FALSE)</f>
        <v>0.6</v>
      </c>
      <c r="U20" s="55">
        <v>0.85299999999999998</v>
      </c>
      <c r="V20" s="55"/>
      <c r="W20" s="56" t="s">
        <v>305</v>
      </c>
      <c r="X20" s="55">
        <v>0.85</v>
      </c>
      <c r="Y20" s="54">
        <v>0.75</v>
      </c>
      <c r="Z20" s="74">
        <v>0.75</v>
      </c>
      <c r="AA20" s="54">
        <v>0.67</v>
      </c>
      <c r="AB20" s="55">
        <v>0.69699999999999995</v>
      </c>
      <c r="AC20" s="55">
        <f t="shared" si="20"/>
        <v>-1.953333333333333E-2</v>
      </c>
      <c r="AD20" s="61">
        <f t="shared" si="21"/>
        <v>0.85926978733200399</v>
      </c>
      <c r="AE20" s="54">
        <v>0.6</v>
      </c>
      <c r="AF20" s="59" t="s">
        <v>319</v>
      </c>
      <c r="AH20" s="38">
        <f t="shared" si="22"/>
        <v>0.77500000000000002</v>
      </c>
      <c r="AI20" s="39">
        <f>SLOPE(C20:O20,C$3:O$3)</f>
        <v>-1.953333333333333E-2</v>
      </c>
      <c r="AJ20" s="39">
        <f t="shared" si="23"/>
        <v>0.85926978733200399</v>
      </c>
      <c r="AK20" s="40" t="str">
        <f t="shared" si="24"/>
        <v/>
      </c>
      <c r="AL20" s="40" t="str">
        <f t="shared" si="25"/>
        <v/>
      </c>
      <c r="AM20" s="40">
        <f t="shared" si="26"/>
        <v>0.17713333333333331</v>
      </c>
      <c r="AN20" s="40" t="str">
        <f t="shared" si="27"/>
        <v/>
      </c>
      <c r="AO20" s="40" t="str">
        <f t="shared" si="28"/>
        <v/>
      </c>
      <c r="AP20" s="40">
        <f t="shared" si="29"/>
        <v>7.6533333333333273E-2</v>
      </c>
      <c r="AQ20" s="40" t="str">
        <f t="shared" si="30"/>
        <v/>
      </c>
      <c r="AR20" s="40" t="str">
        <f t="shared" si="31"/>
        <v/>
      </c>
      <c r="AS20" s="40">
        <f t="shared" si="32"/>
        <v>-0.15706666666666666</v>
      </c>
      <c r="AT20" s="40" t="str">
        <f t="shared" si="33"/>
        <v/>
      </c>
      <c r="AU20" s="40" t="str">
        <f t="shared" si="34"/>
        <v/>
      </c>
      <c r="AV20" s="40">
        <f t="shared" si="35"/>
        <v>-0.13566666666666669</v>
      </c>
      <c r="AW20" s="40" t="str">
        <f t="shared" si="36"/>
        <v/>
      </c>
      <c r="AX20" s="41" t="s">
        <v>167</v>
      </c>
      <c r="AY20" s="42">
        <f>_xlfn.STDEV.S(AK20:AW20,AK23:AW23)</f>
        <v>0.12955640923784192</v>
      </c>
      <c r="AZ20" s="34">
        <v>17</v>
      </c>
      <c r="BA20" s="34">
        <v>1</v>
      </c>
      <c r="BB20" s="34" t="str">
        <f t="shared" si="17"/>
        <v>Landelijke tussenevaluatie</v>
      </c>
      <c r="BC20" s="34">
        <f t="shared" si="18"/>
        <v>0.75</v>
      </c>
    </row>
    <row r="21" spans="1:55" s="36" customFormat="1" ht="105.75" customHeight="1" x14ac:dyDescent="0.3">
      <c r="A21" s="53">
        <v>18</v>
      </c>
      <c r="B21" s="53" t="str">
        <f>WLs!C21</f>
        <v>Oostvaardersplassen</v>
      </c>
      <c r="C21" s="35">
        <v>0.315</v>
      </c>
      <c r="D21" s="35"/>
      <c r="E21" s="35"/>
      <c r="F21" s="35">
        <v>0.11799999999999999</v>
      </c>
      <c r="G21" s="35"/>
      <c r="H21" s="35"/>
      <c r="I21" s="35">
        <v>0.11</v>
      </c>
      <c r="J21" s="35"/>
      <c r="K21" s="35"/>
      <c r="L21" s="35">
        <v>0.32700000000000001</v>
      </c>
      <c r="M21" s="35"/>
      <c r="N21" s="35"/>
      <c r="O21" s="35">
        <v>0.14399999999999999</v>
      </c>
      <c r="P21" s="54">
        <v>0.12</v>
      </c>
      <c r="Q21" s="59" t="s">
        <v>305</v>
      </c>
      <c r="R21" s="54">
        <v>0.12000000000000001</v>
      </c>
      <c r="S21" s="54">
        <v>-0.02</v>
      </c>
      <c r="T21" s="54">
        <f>VLOOKUP(A21,WLs!$A$4:$G$23,7,FALSE)</f>
        <v>0.1</v>
      </c>
      <c r="U21" s="55">
        <v>0.114</v>
      </c>
      <c r="V21" s="55">
        <v>-5.9999999999999915E-3</v>
      </c>
      <c r="W21" s="56" t="s">
        <v>320</v>
      </c>
      <c r="X21" s="55">
        <v>0.11</v>
      </c>
      <c r="Y21" s="54">
        <v>0.22</v>
      </c>
      <c r="Z21" s="74">
        <v>0.22</v>
      </c>
      <c r="AA21" s="54">
        <v>0.19</v>
      </c>
      <c r="AB21" s="55">
        <v>0.23549999999999999</v>
      </c>
      <c r="AC21" s="55">
        <f t="shared" si="20"/>
        <v>0</v>
      </c>
      <c r="AD21" s="61">
        <f t="shared" si="21"/>
        <v>3.7417397852555698E-2</v>
      </c>
      <c r="AE21" s="54">
        <v>0.1</v>
      </c>
      <c r="AF21" s="59" t="s">
        <v>321</v>
      </c>
      <c r="AH21" s="38">
        <f t="shared" si="22"/>
        <v>0.20280000000000001</v>
      </c>
      <c r="AI21" s="39"/>
      <c r="AJ21" s="39">
        <f t="shared" si="23"/>
        <v>3.7417397852555698E-2</v>
      </c>
      <c r="AK21" s="40">
        <f t="shared" si="24"/>
        <v>0.11219999999999999</v>
      </c>
      <c r="AL21" s="40" t="str">
        <f t="shared" si="25"/>
        <v/>
      </c>
      <c r="AM21" s="40" t="str">
        <f t="shared" si="26"/>
        <v/>
      </c>
      <c r="AN21" s="40">
        <f t="shared" si="27"/>
        <v>-8.4800000000000014E-2</v>
      </c>
      <c r="AO21" s="40" t="str">
        <f t="shared" si="28"/>
        <v/>
      </c>
      <c r="AP21" s="40" t="str">
        <f t="shared" si="29"/>
        <v/>
      </c>
      <c r="AQ21" s="40">
        <f t="shared" si="30"/>
        <v>-9.2800000000000007E-2</v>
      </c>
      <c r="AR21" s="40" t="str">
        <f t="shared" si="31"/>
        <v/>
      </c>
      <c r="AS21" s="40" t="str">
        <f t="shared" si="32"/>
        <v/>
      </c>
      <c r="AT21" s="40">
        <f t="shared" si="33"/>
        <v>0.1242</v>
      </c>
      <c r="AU21" s="40" t="str">
        <f t="shared" si="34"/>
        <v/>
      </c>
      <c r="AV21" s="40" t="str">
        <f t="shared" si="35"/>
        <v/>
      </c>
      <c r="AW21" s="40">
        <f t="shared" si="36"/>
        <v>-5.8800000000000019E-2</v>
      </c>
      <c r="AX21" s="45" t="s">
        <v>166</v>
      </c>
      <c r="AY21" s="44">
        <f>AY19</f>
        <v>0.12741037187583459</v>
      </c>
      <c r="AZ21" s="34">
        <v>18</v>
      </c>
      <c r="BA21" s="34">
        <v>1</v>
      </c>
      <c r="BB21" s="34" t="str">
        <f t="shared" si="17"/>
        <v>Landelijke tussenevaluatie</v>
      </c>
      <c r="BC21" s="34">
        <f t="shared" si="18"/>
        <v>0.22</v>
      </c>
    </row>
    <row r="22" spans="1:55" s="36" customFormat="1" ht="105" customHeight="1" x14ac:dyDescent="0.3">
      <c r="A22" s="53">
        <v>19</v>
      </c>
      <c r="B22" s="53" t="str">
        <f>WLs!C22</f>
        <v>Vollenhover- en Kadoelermeer</v>
      </c>
      <c r="C22" s="35"/>
      <c r="D22" s="35">
        <v>0.85499999999999998</v>
      </c>
      <c r="E22" s="35"/>
      <c r="F22" s="35"/>
      <c r="G22" s="35">
        <v>0.98199999999999998</v>
      </c>
      <c r="H22" s="35"/>
      <c r="I22" s="35"/>
      <c r="J22" s="35">
        <v>0.98199999999999998</v>
      </c>
      <c r="K22" s="35"/>
      <c r="L22" s="35"/>
      <c r="M22" s="35">
        <v>0.88600000000000001</v>
      </c>
      <c r="N22" s="35"/>
      <c r="O22" s="35"/>
      <c r="P22" s="54">
        <v>0.92</v>
      </c>
      <c r="Q22" s="59" t="s">
        <v>305</v>
      </c>
      <c r="R22" s="54"/>
      <c r="S22" s="54"/>
      <c r="T22" s="54">
        <f>VLOOKUP(A22,WLs!$A$4:$G$23,7,FALSE)</f>
        <v>0.6</v>
      </c>
      <c r="U22" s="55">
        <v>0.91849999999999998</v>
      </c>
      <c r="V22" s="55">
        <v>-1.5000000000000568E-3</v>
      </c>
      <c r="W22" s="56" t="s">
        <v>305</v>
      </c>
      <c r="X22" s="55">
        <v>0.92</v>
      </c>
      <c r="Y22" s="54">
        <v>0.94</v>
      </c>
      <c r="Z22" s="54">
        <v>0.97</v>
      </c>
      <c r="AA22" s="74">
        <v>0.92</v>
      </c>
      <c r="AB22" s="55">
        <v>0.93400000000000005</v>
      </c>
      <c r="AC22" s="55">
        <f t="shared" si="20"/>
        <v>3.1000000000000029E-3</v>
      </c>
      <c r="AD22" s="61">
        <f t="shared" si="21"/>
        <v>0.12173031857622414</v>
      </c>
      <c r="AE22" s="54">
        <v>0.6</v>
      </c>
      <c r="AF22" s="59" t="s">
        <v>322</v>
      </c>
      <c r="AH22" s="38">
        <f t="shared" si="22"/>
        <v>0.92625000000000002</v>
      </c>
      <c r="AI22" s="39">
        <f>SLOPE(C22:O22,C$3:O$3)</f>
        <v>3.1000000000000029E-3</v>
      </c>
      <c r="AJ22" s="39">
        <f t="shared" si="23"/>
        <v>0.12173031857622414</v>
      </c>
      <c r="AK22" s="40" t="str">
        <f t="shared" si="24"/>
        <v/>
      </c>
      <c r="AL22" s="40">
        <f t="shared" si="25"/>
        <v>-8.6750000000000049E-2</v>
      </c>
      <c r="AM22" s="40" t="str">
        <f t="shared" si="26"/>
        <v/>
      </c>
      <c r="AN22" s="40" t="str">
        <f t="shared" si="27"/>
        <v/>
      </c>
      <c r="AO22" s="40">
        <f t="shared" si="28"/>
        <v>4.9549999999999962E-2</v>
      </c>
      <c r="AP22" s="40" t="str">
        <f t="shared" si="29"/>
        <v/>
      </c>
      <c r="AQ22" s="40" t="str">
        <f t="shared" si="30"/>
        <v/>
      </c>
      <c r="AR22" s="40">
        <f t="shared" si="31"/>
        <v>5.8849999999999972E-2</v>
      </c>
      <c r="AS22" s="40" t="str">
        <f t="shared" si="32"/>
        <v/>
      </c>
      <c r="AT22" s="40" t="str">
        <f t="shared" si="33"/>
        <v/>
      </c>
      <c r="AU22" s="40">
        <f t="shared" si="34"/>
        <v>-2.7849999999999996E-2</v>
      </c>
      <c r="AV22" s="40" t="str">
        <f t="shared" si="35"/>
        <v/>
      </c>
      <c r="AW22" s="40" t="str">
        <f t="shared" si="36"/>
        <v/>
      </c>
      <c r="AX22" s="45" t="s">
        <v>166</v>
      </c>
      <c r="AY22" s="44">
        <f>AY21</f>
        <v>0.12741037187583459</v>
      </c>
      <c r="AZ22" s="34">
        <v>19</v>
      </c>
      <c r="BA22" s="34">
        <v>2</v>
      </c>
      <c r="BB22" s="34" t="str">
        <f t="shared" si="17"/>
        <v>Berekening met concentratie nutriënten gelijk aan norm</v>
      </c>
      <c r="BC22" s="34">
        <f t="shared" si="18"/>
        <v>0.92</v>
      </c>
    </row>
    <row r="23" spans="1:55" s="36" customFormat="1" ht="31.5" customHeight="1" x14ac:dyDescent="0.3">
      <c r="A23" s="53">
        <v>20</v>
      </c>
      <c r="B23" s="53" t="str">
        <f>WLs!C23</f>
        <v>Weerwater</v>
      </c>
      <c r="C23" s="35"/>
      <c r="D23" s="35"/>
      <c r="E23" s="35">
        <v>0.78900000000000003</v>
      </c>
      <c r="F23" s="35"/>
      <c r="G23" s="35"/>
      <c r="H23" s="35">
        <v>0.72</v>
      </c>
      <c r="I23" s="35"/>
      <c r="J23" s="35"/>
      <c r="K23" s="35">
        <v>0.92700000000000005</v>
      </c>
      <c r="L23" s="35"/>
      <c r="M23" s="35"/>
      <c r="N23" s="35">
        <v>0.68</v>
      </c>
      <c r="O23" s="35"/>
      <c r="P23" s="54">
        <v>0.75</v>
      </c>
      <c r="Q23" s="59" t="s">
        <v>305</v>
      </c>
      <c r="R23" s="54"/>
      <c r="S23" s="54"/>
      <c r="T23" s="54">
        <f>VLOOKUP(A23,WLs!$A$4:$G$23,7,FALSE)</f>
        <v>0.6</v>
      </c>
      <c r="U23" s="55">
        <v>0.75449999999999995</v>
      </c>
      <c r="V23" s="55"/>
      <c r="W23" s="56" t="s">
        <v>305</v>
      </c>
      <c r="X23" s="55">
        <v>0.75</v>
      </c>
      <c r="Y23" s="54">
        <v>0.83</v>
      </c>
      <c r="Z23" s="74">
        <v>0.83</v>
      </c>
      <c r="AA23" s="54">
        <v>0.76</v>
      </c>
      <c r="AB23" s="55">
        <v>0.80349999999999999</v>
      </c>
      <c r="AC23" s="55">
        <f t="shared" si="20"/>
        <v>-3.9999999999999957E-3</v>
      </c>
      <c r="AD23" s="61">
        <f t="shared" si="21"/>
        <v>7.691075148213411E-2</v>
      </c>
      <c r="AE23" s="54">
        <v>0.6</v>
      </c>
      <c r="AF23" s="59" t="s">
        <v>319</v>
      </c>
      <c r="AH23" s="38">
        <f t="shared" si="22"/>
        <v>0.77900000000000003</v>
      </c>
      <c r="AI23" s="39">
        <f>SLOPE(C23:O23,C$3:O$3)</f>
        <v>-3.9999999999999957E-3</v>
      </c>
      <c r="AJ23" s="39">
        <f t="shared" si="23"/>
        <v>7.691075148213411E-2</v>
      </c>
      <c r="AK23" s="40" t="str">
        <f t="shared" si="24"/>
        <v/>
      </c>
      <c r="AL23" s="40" t="str">
        <f t="shared" si="25"/>
        <v/>
      </c>
      <c r="AM23" s="40">
        <f t="shared" si="26"/>
        <v>2.5999999999999992E-2</v>
      </c>
      <c r="AN23" s="40" t="str">
        <f t="shared" si="27"/>
        <v/>
      </c>
      <c r="AO23" s="40" t="str">
        <f t="shared" si="28"/>
        <v/>
      </c>
      <c r="AP23" s="40">
        <f t="shared" si="29"/>
        <v>-5.5000000000000056E-2</v>
      </c>
      <c r="AQ23" s="40" t="str">
        <f t="shared" si="30"/>
        <v/>
      </c>
      <c r="AR23" s="40" t="str">
        <f t="shared" si="31"/>
        <v/>
      </c>
      <c r="AS23" s="40">
        <f t="shared" si="32"/>
        <v>0.14000000000000004</v>
      </c>
      <c r="AT23" s="40" t="str">
        <f t="shared" si="33"/>
        <v/>
      </c>
      <c r="AU23" s="40" t="str">
        <f t="shared" si="34"/>
        <v/>
      </c>
      <c r="AV23" s="40">
        <f t="shared" si="35"/>
        <v>-0.11899999999999995</v>
      </c>
      <c r="AW23" s="40" t="str">
        <f t="shared" si="36"/>
        <v/>
      </c>
      <c r="AX23" s="45" t="s">
        <v>167</v>
      </c>
      <c r="AY23" s="44">
        <f>AY20</f>
        <v>0.12955640923784192</v>
      </c>
      <c r="AZ23" s="34">
        <v>20</v>
      </c>
      <c r="BA23" s="34">
        <v>1</v>
      </c>
      <c r="BB23" s="34" t="str">
        <f t="shared" si="17"/>
        <v>Landelijke tussenevaluatie</v>
      </c>
      <c r="BC23" s="34">
        <f t="shared" si="18"/>
        <v>0.83</v>
      </c>
    </row>
  </sheetData>
  <mergeCells count="8">
    <mergeCell ref="AB2:AD2"/>
    <mergeCell ref="AE2:AF2"/>
    <mergeCell ref="Y2:AA2"/>
    <mergeCell ref="A2:A3"/>
    <mergeCell ref="B2:B3"/>
    <mergeCell ref="C2:O2"/>
    <mergeCell ref="P2:T2"/>
    <mergeCell ref="U2:X2"/>
  </mergeCells>
  <conditionalFormatting sqref="AI4:AI23">
    <cfRule type="cellIs" dxfId="47" priority="5" operator="greaterThan">
      <formula>0.01</formula>
    </cfRule>
    <cfRule type="cellIs" dxfId="46" priority="6" operator="lessThan">
      <formula>-0.01</formula>
    </cfRule>
  </conditionalFormatting>
  <conditionalFormatting sqref="AJ4:AJ23">
    <cfRule type="cellIs" dxfId="45" priority="4" operator="greaterThan">
      <formula>0.8</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7FF2C-5DDC-48C7-B47D-482F58EEBA82}">
  <dimension ref="A1:BC23"/>
  <sheetViews>
    <sheetView zoomScaleNormal="100" workbookViewId="0">
      <pane xSplit="2" ySplit="3" topLeftCell="P4" activePane="bottomRight" state="frozen"/>
      <selection pane="topRight" activeCell="B1" sqref="B1"/>
      <selection pane="bottomLeft" activeCell="B1" sqref="B1"/>
      <selection pane="bottomRight" activeCell="P4" sqref="P4"/>
    </sheetView>
  </sheetViews>
  <sheetFormatPr defaultRowHeight="14.4" x14ac:dyDescent="0.3"/>
  <cols>
    <col min="1" max="1" width="4.5546875" customWidth="1"/>
    <col min="2" max="2" width="27" style="22" customWidth="1"/>
    <col min="3" max="15" width="7.5546875" hidden="1" customWidth="1"/>
    <col min="16" max="16" width="12.44140625" customWidth="1"/>
    <col min="17" max="17" width="15.44140625" customWidth="1"/>
    <col min="18" max="18" width="11.44140625" customWidth="1"/>
    <col min="19" max="19" width="11.21875" customWidth="1"/>
    <col min="20" max="20" width="8.44140625" customWidth="1"/>
    <col min="21" max="21" width="15.21875" customWidth="1"/>
    <col min="22" max="22" width="14.77734375" customWidth="1"/>
    <col min="23" max="23" width="18.21875" style="22" customWidth="1"/>
    <col min="24" max="24" width="12.44140625" customWidth="1"/>
    <col min="25" max="25" width="15" customWidth="1"/>
    <col min="26" max="26" width="10.77734375" customWidth="1"/>
    <col min="27" max="27" width="14.77734375" customWidth="1"/>
    <col min="28" max="28" width="12.5546875" customWidth="1"/>
    <col min="29" max="29" width="10.77734375" customWidth="1"/>
    <col min="30" max="30" width="17.44140625" customWidth="1"/>
    <col min="31" max="31" width="10.5546875" customWidth="1"/>
    <col min="32" max="32" width="70.21875" style="22" customWidth="1"/>
    <col min="33" max="33" width="14.77734375" bestFit="1" customWidth="1"/>
    <col min="34" max="35" width="8.77734375" hidden="1" customWidth="1"/>
    <col min="36" max="36" width="16.21875" hidden="1" customWidth="1"/>
    <col min="37" max="51" width="8.77734375" hidden="1" customWidth="1"/>
    <col min="52" max="52" width="5.77734375" hidden="1" customWidth="1"/>
    <col min="53" max="54" width="20.44140625" hidden="1" customWidth="1"/>
    <col min="55" max="55" width="6.44140625" hidden="1" customWidth="1"/>
  </cols>
  <sheetData>
    <row r="1" spans="1:55" ht="21" x14ac:dyDescent="0.4">
      <c r="A1" s="57" t="s">
        <v>59</v>
      </c>
      <c r="C1">
        <v>3</v>
      </c>
      <c r="D1">
        <f>C1+1</f>
        <v>4</v>
      </c>
      <c r="E1">
        <f t="shared" ref="E1:P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c r="P1">
        <f t="shared" si="0"/>
        <v>16</v>
      </c>
      <c r="Q1">
        <f t="shared" ref="Q1" si="1">P1+1</f>
        <v>17</v>
      </c>
      <c r="R1">
        <f t="shared" ref="R1" si="2">Q1+1</f>
        <v>18</v>
      </c>
      <c r="S1">
        <f t="shared" ref="S1" si="3">R1+1</f>
        <v>19</v>
      </c>
      <c r="T1">
        <f t="shared" ref="T1" si="4">S1+1</f>
        <v>20</v>
      </c>
      <c r="U1">
        <f t="shared" ref="U1" si="5">T1+1</f>
        <v>21</v>
      </c>
      <c r="V1">
        <f t="shared" ref="V1" si="6">U1+1</f>
        <v>22</v>
      </c>
      <c r="W1" s="22">
        <f t="shared" ref="W1" si="7">V1+1</f>
        <v>23</v>
      </c>
      <c r="X1">
        <f t="shared" ref="X1" si="8">W1+1</f>
        <v>24</v>
      </c>
      <c r="Y1">
        <f t="shared" ref="Y1" si="9">X1+1</f>
        <v>25</v>
      </c>
      <c r="Z1">
        <f t="shared" ref="Z1" si="10">Y1+1</f>
        <v>26</v>
      </c>
      <c r="AA1">
        <f t="shared" ref="AA1" si="11">Z1+1</f>
        <v>27</v>
      </c>
      <c r="AB1">
        <f t="shared" ref="AB1" si="12">AA1+1</f>
        <v>28</v>
      </c>
      <c r="AC1">
        <f t="shared" ref="AC1" si="13">AB1+1</f>
        <v>29</v>
      </c>
      <c r="AD1">
        <f t="shared" ref="AD1" si="14">AC1+1</f>
        <v>30</v>
      </c>
      <c r="AE1">
        <f t="shared" ref="AE1" si="15">AD1+1</f>
        <v>31</v>
      </c>
    </row>
    <row r="2" spans="1:55" ht="18" x14ac:dyDescent="0.35">
      <c r="A2" s="227" t="s">
        <v>149</v>
      </c>
      <c r="B2" s="229" t="s">
        <v>150</v>
      </c>
      <c r="C2" s="228" t="s">
        <v>278</v>
      </c>
      <c r="D2" s="228"/>
      <c r="E2" s="228"/>
      <c r="F2" s="228"/>
      <c r="G2" s="228"/>
      <c r="H2" s="228"/>
      <c r="I2" s="228"/>
      <c r="J2" s="228"/>
      <c r="K2" s="228"/>
      <c r="L2" s="228"/>
      <c r="M2" s="228"/>
      <c r="N2" s="228"/>
      <c r="O2" s="228"/>
      <c r="P2" s="226" t="s">
        <v>37</v>
      </c>
      <c r="Q2" s="226"/>
      <c r="R2" s="226"/>
      <c r="S2" s="226"/>
      <c r="T2" s="226"/>
      <c r="U2" s="221" t="s">
        <v>279</v>
      </c>
      <c r="V2" s="222"/>
      <c r="W2" s="222"/>
      <c r="X2" s="223"/>
      <c r="Y2" s="226" t="s">
        <v>280</v>
      </c>
      <c r="Z2" s="226"/>
      <c r="AA2" s="226"/>
      <c r="AB2" s="221" t="s">
        <v>43</v>
      </c>
      <c r="AC2" s="222"/>
      <c r="AD2" s="223"/>
      <c r="AE2" s="224" t="s">
        <v>281</v>
      </c>
      <c r="AF2" s="225"/>
      <c r="AI2" t="s">
        <v>282</v>
      </c>
      <c r="AK2">
        <v>-6</v>
      </c>
      <c r="AL2">
        <f>AK2+1</f>
        <v>-5</v>
      </c>
      <c r="AM2">
        <f t="shared" ref="AM2:AW2" si="16">AL2+1</f>
        <v>-4</v>
      </c>
      <c r="AN2">
        <f t="shared" si="16"/>
        <v>-3</v>
      </c>
      <c r="AO2">
        <f t="shared" si="16"/>
        <v>-2</v>
      </c>
      <c r="AP2">
        <f t="shared" si="16"/>
        <v>-1</v>
      </c>
      <c r="AQ2">
        <f t="shared" si="16"/>
        <v>0</v>
      </c>
      <c r="AR2">
        <f t="shared" si="16"/>
        <v>1</v>
      </c>
      <c r="AS2">
        <f t="shared" si="16"/>
        <v>2</v>
      </c>
      <c r="AT2">
        <f t="shared" si="16"/>
        <v>3</v>
      </c>
      <c r="AU2">
        <f t="shared" si="16"/>
        <v>4</v>
      </c>
      <c r="AV2">
        <f t="shared" si="16"/>
        <v>5</v>
      </c>
      <c r="AW2">
        <f t="shared" si="16"/>
        <v>6</v>
      </c>
    </row>
    <row r="3" spans="1:55" s="36" customFormat="1" ht="89.55" customHeight="1" x14ac:dyDescent="0.3">
      <c r="A3" s="227"/>
      <c r="B3" s="229"/>
      <c r="C3" s="110">
        <v>2012</v>
      </c>
      <c r="D3" s="110">
        <v>2013</v>
      </c>
      <c r="E3" s="110">
        <v>2014</v>
      </c>
      <c r="F3" s="118">
        <v>2015</v>
      </c>
      <c r="G3" s="118">
        <v>2016</v>
      </c>
      <c r="H3" s="118">
        <v>2017</v>
      </c>
      <c r="I3" s="118">
        <v>2018</v>
      </c>
      <c r="J3" s="118">
        <v>2019</v>
      </c>
      <c r="K3" s="118">
        <v>2020</v>
      </c>
      <c r="L3" s="118">
        <v>2021</v>
      </c>
      <c r="M3" s="118">
        <v>2022</v>
      </c>
      <c r="N3" s="118">
        <v>2023</v>
      </c>
      <c r="O3" s="119">
        <v>2024</v>
      </c>
      <c r="P3" s="112" t="s">
        <v>283</v>
      </c>
      <c r="Q3" s="112" t="s">
        <v>284</v>
      </c>
      <c r="R3" s="112" t="s">
        <v>285</v>
      </c>
      <c r="S3" s="112" t="s">
        <v>286</v>
      </c>
      <c r="T3" s="112" t="s">
        <v>160</v>
      </c>
      <c r="U3" s="113" t="s">
        <v>287</v>
      </c>
      <c r="V3" s="113" t="s">
        <v>288</v>
      </c>
      <c r="W3" s="113" t="s">
        <v>289</v>
      </c>
      <c r="X3" s="113" t="s">
        <v>132</v>
      </c>
      <c r="Y3" s="112" t="s">
        <v>290</v>
      </c>
      <c r="Z3" s="112" t="s">
        <v>291</v>
      </c>
      <c r="AA3" s="112" t="s">
        <v>292</v>
      </c>
      <c r="AB3" s="113" t="s">
        <v>293</v>
      </c>
      <c r="AC3" s="113" t="s">
        <v>294</v>
      </c>
      <c r="AD3" s="113" t="s">
        <v>295</v>
      </c>
      <c r="AE3" s="120" t="s">
        <v>67</v>
      </c>
      <c r="AF3" s="120" t="s">
        <v>296</v>
      </c>
      <c r="AH3" s="114" t="s">
        <v>297</v>
      </c>
      <c r="AI3" s="114" t="s">
        <v>298</v>
      </c>
      <c r="AJ3" s="114" t="s">
        <v>299</v>
      </c>
      <c r="AK3" s="115">
        <v>2012</v>
      </c>
      <c r="AL3" s="115">
        <v>2013</v>
      </c>
      <c r="AM3" s="115">
        <v>2014</v>
      </c>
      <c r="AN3" s="115">
        <v>2015</v>
      </c>
      <c r="AO3" s="115">
        <v>2016</v>
      </c>
      <c r="AP3" s="115">
        <v>2017</v>
      </c>
      <c r="AQ3" s="115">
        <v>2018</v>
      </c>
      <c r="AR3" s="115">
        <v>2019</v>
      </c>
      <c r="AS3" s="115">
        <v>2020</v>
      </c>
      <c r="AT3" s="115">
        <v>2021</v>
      </c>
      <c r="AU3" s="115">
        <v>2022</v>
      </c>
      <c r="AV3" s="115">
        <v>2023</v>
      </c>
      <c r="AW3" s="115">
        <v>2024</v>
      </c>
      <c r="AX3" s="116" t="s">
        <v>151</v>
      </c>
      <c r="AY3" s="117" t="s">
        <v>300</v>
      </c>
      <c r="AZ3" s="4" t="s">
        <v>301</v>
      </c>
      <c r="BA3" s="137" t="s">
        <v>302</v>
      </c>
      <c r="BB3" s="137" t="s">
        <v>303</v>
      </c>
      <c r="BC3" s="137" t="s">
        <v>157</v>
      </c>
    </row>
    <row r="4" spans="1:55" s="36" customFormat="1" ht="169.35" customHeight="1" x14ac:dyDescent="0.3">
      <c r="A4" s="53">
        <v>1</v>
      </c>
      <c r="B4" s="53" t="str">
        <f>WLs!C4</f>
        <v>Tochten ABC1</v>
      </c>
      <c r="C4" s="35"/>
      <c r="D4" s="35">
        <v>0.59440000000000004</v>
      </c>
      <c r="E4" s="35"/>
      <c r="F4" s="35"/>
      <c r="G4" s="35">
        <v>0.57279999999999998</v>
      </c>
      <c r="H4" s="35"/>
      <c r="I4" s="35"/>
      <c r="J4" s="35">
        <v>0.46920000000000001</v>
      </c>
      <c r="K4" s="35"/>
      <c r="L4" s="35"/>
      <c r="M4" s="35">
        <v>0.4582</v>
      </c>
      <c r="N4" s="35"/>
      <c r="O4" s="35"/>
      <c r="P4" s="54">
        <v>0.56020000000000003</v>
      </c>
      <c r="Q4" s="59" t="s">
        <v>323</v>
      </c>
      <c r="R4" s="54">
        <v>0.57000000000000006</v>
      </c>
      <c r="S4" s="54">
        <v>-0.02</v>
      </c>
      <c r="T4" s="54">
        <f>VLOOKUP(A4,WLs!$A$4:$J$23,8,FALSE)</f>
        <v>0.55000000000000004</v>
      </c>
      <c r="U4" s="55">
        <v>0.58399999999999996</v>
      </c>
      <c r="V4" s="55">
        <v>2.3799999999999932E-2</v>
      </c>
      <c r="W4" s="56" t="s">
        <v>324</v>
      </c>
      <c r="X4" s="55">
        <v>0.59</v>
      </c>
      <c r="Y4" s="54">
        <v>0.46</v>
      </c>
      <c r="Z4" s="74">
        <v>0.51</v>
      </c>
      <c r="AA4" s="54">
        <v>0.49</v>
      </c>
      <c r="AB4" s="55">
        <v>0.46350000000000002</v>
      </c>
      <c r="AC4" s="55">
        <f>AI4</f>
        <v>-1.7073333333333336E-2</v>
      </c>
      <c r="AD4" s="61">
        <f>AJ4</f>
        <v>0.97126458356425727</v>
      </c>
      <c r="AE4" s="54">
        <v>0.56000000000000005</v>
      </c>
      <c r="AF4" s="59" t="s">
        <v>325</v>
      </c>
      <c r="AH4" s="38">
        <f t="shared" ref="AH4:AH23" si="17">AVERAGE(C4:O4)</f>
        <v>0.52365000000000006</v>
      </c>
      <c r="AI4" s="39">
        <f t="shared" ref="AI4:AI16" si="18">SLOPE(C4:O4,C$3:O$3)</f>
        <v>-1.7073333333333336E-2</v>
      </c>
      <c r="AJ4" s="39">
        <f>RSQ(AK4:AW4,AK$3:AW$3)</f>
        <v>0.97126458356425727</v>
      </c>
      <c r="AK4" s="40" t="str">
        <f t="shared" ref="AK4:AK23" si="19">IF(C4="","",C4-$AH4+AK$2*$AI4)</f>
        <v/>
      </c>
      <c r="AL4" s="40">
        <f t="shared" ref="AL4:AL23" si="20">IF(D4="","",D4-$AH4+AL$2*$AI4)</f>
        <v>0.15611666666666665</v>
      </c>
      <c r="AM4" s="40" t="str">
        <f t="shared" ref="AM4:AM23" si="21">IF(E4="","",E4-$AH4+AM$2*$AI4)</f>
        <v/>
      </c>
      <c r="AN4" s="40" t="str">
        <f t="shared" ref="AN4:AN23" si="22">IF(F4="","",F4-$AH4+AN$2*$AI4)</f>
        <v/>
      </c>
      <c r="AO4" s="40">
        <f t="shared" ref="AO4:AO23" si="23">IF(G4="","",G4-$AH4+AO$2*$AI4)</f>
        <v>8.3296666666666588E-2</v>
      </c>
      <c r="AP4" s="40" t="str">
        <f t="shared" ref="AP4:AP23" si="24">IF(H4="","",H4-$AH4+AP$2*$AI4)</f>
        <v/>
      </c>
      <c r="AQ4" s="40" t="str">
        <f t="shared" ref="AQ4:AQ23" si="25">IF(I4="","",I4-$AH4+AQ$2*$AI4)</f>
        <v/>
      </c>
      <c r="AR4" s="40">
        <f t="shared" ref="AR4:AR23" si="26">IF(J4="","",J4-$AH4+AR$2*$AI4)</f>
        <v>-7.1523333333333383E-2</v>
      </c>
      <c r="AS4" s="40" t="str">
        <f t="shared" ref="AS4:AS23" si="27">IF(K4="","",K4-$AH4+AS$2*$AI4)</f>
        <v/>
      </c>
      <c r="AT4" s="40" t="str">
        <f t="shared" ref="AT4:AT23" si="28">IF(L4="","",L4-$AH4+AT$2*$AI4)</f>
        <v/>
      </c>
      <c r="AU4" s="40">
        <f t="shared" ref="AU4:AU23" si="29">IF(M4="","",M4-$AH4+AU$2*$AI4)</f>
        <v>-0.13374333333333341</v>
      </c>
      <c r="AV4" s="40" t="str">
        <f t="shared" ref="AV4:AV23" si="30">IF(N4="","",N4-$AH4+AV$2*$AI4)</f>
        <v/>
      </c>
      <c r="AW4" s="40" t="str">
        <f t="shared" ref="AW4:AW23" si="31">IF(O4="","",O4-$AH4+AW$2*$AI4)</f>
        <v/>
      </c>
      <c r="AX4" s="41" t="s">
        <v>161</v>
      </c>
      <c r="AY4" s="42">
        <f>_xlfn.STDEV.S(AK4:AW5)</f>
        <v>0.10615661432562441</v>
      </c>
      <c r="AZ4" s="34">
        <v>1</v>
      </c>
      <c r="BA4" s="34">
        <v>1</v>
      </c>
      <c r="BB4" s="34" t="str">
        <f>IF(BA4=1,"Landelijke tussenevaluatie",IF(BA4=2,"Berekening met concentratie nutriënten gelijk aan norm","n.b."))</f>
        <v>Landelijke tussenevaluatie</v>
      </c>
      <c r="BC4" s="34">
        <f>IF(BA4=1,Z4,IF(BA4=2,AA4,"n.b."))</f>
        <v>0.51</v>
      </c>
    </row>
    <row r="5" spans="1:55" s="36" customFormat="1" ht="65.55" customHeight="1" x14ac:dyDescent="0.3">
      <c r="A5" s="53">
        <v>2</v>
      </c>
      <c r="B5" s="53" t="str">
        <f>WLs!C5</f>
        <v>Tochten ABC2</v>
      </c>
      <c r="C5" s="35"/>
      <c r="D5" s="35">
        <v>0.52149999999999996</v>
      </c>
      <c r="E5" s="35"/>
      <c r="F5" s="35"/>
      <c r="G5" s="35">
        <v>0.56133333333333335</v>
      </c>
      <c r="H5" s="35"/>
      <c r="I5" s="35"/>
      <c r="J5" s="35">
        <v>0.56433333333333324</v>
      </c>
      <c r="K5" s="35"/>
      <c r="L5" s="35"/>
      <c r="M5" s="35">
        <v>0.63516666666666666</v>
      </c>
      <c r="N5" s="35"/>
      <c r="O5" s="35"/>
      <c r="P5" s="54">
        <v>0.52</v>
      </c>
      <c r="Q5" s="59" t="s">
        <v>326</v>
      </c>
      <c r="R5" s="54">
        <v>0.54</v>
      </c>
      <c r="S5" s="54">
        <v>-0.04</v>
      </c>
      <c r="T5" s="54">
        <f>VLOOKUP(A5,WLs!$A$4:$J$23,8,FALSE)</f>
        <v>0.5</v>
      </c>
      <c r="U5" s="55">
        <v>0.54149999999999998</v>
      </c>
      <c r="V5" s="55">
        <v>2.1499999999999964E-2</v>
      </c>
      <c r="W5" s="56" t="s">
        <v>327</v>
      </c>
      <c r="X5" s="55">
        <v>0.56000000000000005</v>
      </c>
      <c r="Y5" s="54">
        <v>0.59</v>
      </c>
      <c r="Z5" s="74">
        <v>0.55000000000000004</v>
      </c>
      <c r="AA5" s="54">
        <v>0.55000000000000004</v>
      </c>
      <c r="AB5" s="55">
        <v>0.59950000000000003</v>
      </c>
      <c r="AC5" s="55">
        <f t="shared" ref="AC5:AC23" si="32">AI5</f>
        <v>1.1466666666666667E-2</v>
      </c>
      <c r="AD5" s="61">
        <f t="shared" ref="AD5:AD23" si="33">AJ5</f>
        <v>0.96777759427270327</v>
      </c>
      <c r="AE5" s="54">
        <v>0.53</v>
      </c>
      <c r="AF5" s="59" t="s">
        <v>328</v>
      </c>
      <c r="AH5" s="38">
        <f t="shared" si="17"/>
        <v>0.57058333333333333</v>
      </c>
      <c r="AI5" s="39">
        <f t="shared" si="18"/>
        <v>1.1466666666666667E-2</v>
      </c>
      <c r="AJ5" s="39">
        <f t="shared" ref="AJ5:AJ23" si="34">RSQ(AK5:AW5,AK$3:AW$3)</f>
        <v>0.96777759427270327</v>
      </c>
      <c r="AK5" s="40" t="str">
        <f t="shared" si="19"/>
        <v/>
      </c>
      <c r="AL5" s="40">
        <f t="shared" si="20"/>
        <v>-0.1064166666666667</v>
      </c>
      <c r="AM5" s="40" t="str">
        <f t="shared" si="21"/>
        <v/>
      </c>
      <c r="AN5" s="40" t="str">
        <f t="shared" si="22"/>
        <v/>
      </c>
      <c r="AO5" s="40">
        <f t="shared" si="23"/>
        <v>-3.2183333333333314E-2</v>
      </c>
      <c r="AP5" s="40" t="str">
        <f t="shared" si="24"/>
        <v/>
      </c>
      <c r="AQ5" s="40" t="str">
        <f t="shared" si="25"/>
        <v/>
      </c>
      <c r="AR5" s="40">
        <f t="shared" si="26"/>
        <v>5.2166666666665779E-3</v>
      </c>
      <c r="AS5" s="40" t="str">
        <f t="shared" si="27"/>
        <v/>
      </c>
      <c r="AT5" s="40" t="str">
        <f t="shared" si="28"/>
        <v/>
      </c>
      <c r="AU5" s="40">
        <f t="shared" si="29"/>
        <v>0.11044999999999999</v>
      </c>
      <c r="AV5" s="40" t="str">
        <f t="shared" si="30"/>
        <v/>
      </c>
      <c r="AW5" s="40" t="str">
        <f t="shared" si="31"/>
        <v/>
      </c>
      <c r="AX5" s="43" t="s">
        <v>161</v>
      </c>
      <c r="AY5" s="44">
        <f>AY4</f>
        <v>0.10615661432562441</v>
      </c>
      <c r="AZ5" s="34">
        <v>2</v>
      </c>
      <c r="BA5" s="34">
        <v>1</v>
      </c>
      <c r="BB5" s="34" t="str">
        <f t="shared" ref="BB5:BB23" si="35">IF(BA5=1,"Landelijke tussenevaluatie",IF(BA5=2,"Berekening met concentratie nutriënten gelijk aan norm","n.b."))</f>
        <v>Landelijke tussenevaluatie</v>
      </c>
      <c r="BC5" s="34">
        <f t="shared" ref="BC5:BC23" si="36">IF(BA5=1,Z5,IF(BA5=2,AA5,"n.b."))</f>
        <v>0.55000000000000004</v>
      </c>
    </row>
    <row r="6" spans="1:55" s="36" customFormat="1" ht="79.349999999999994" customHeight="1" x14ac:dyDescent="0.3">
      <c r="A6" s="53">
        <v>3</v>
      </c>
      <c r="B6" s="53" t="str">
        <f>WLs!C6</f>
        <v>Tochten DE Almere</v>
      </c>
      <c r="C6" s="35"/>
      <c r="D6" s="35"/>
      <c r="E6" s="35">
        <v>0.52249999999999996</v>
      </c>
      <c r="F6" s="35"/>
      <c r="G6" s="35"/>
      <c r="H6" s="35">
        <v>0.56899999999999995</v>
      </c>
      <c r="I6" s="35"/>
      <c r="J6" s="35"/>
      <c r="K6" s="35">
        <v>0.38700000000000001</v>
      </c>
      <c r="L6" s="35"/>
      <c r="M6" s="35"/>
      <c r="N6" s="35">
        <v>0.58200000000000007</v>
      </c>
      <c r="O6" s="35"/>
      <c r="P6" s="59" t="s">
        <v>329</v>
      </c>
      <c r="Q6" s="54"/>
      <c r="R6" s="54"/>
      <c r="S6" s="54"/>
      <c r="T6" s="54" t="s">
        <v>330</v>
      </c>
      <c r="U6" s="55">
        <v>0.54574999999999996</v>
      </c>
      <c r="V6" s="55" t="s">
        <v>314</v>
      </c>
      <c r="W6" s="56" t="s">
        <v>305</v>
      </c>
      <c r="X6" s="55">
        <v>0.55000000000000004</v>
      </c>
      <c r="Y6" s="54" t="s">
        <v>314</v>
      </c>
      <c r="Z6" s="54" t="s">
        <v>314</v>
      </c>
      <c r="AA6" s="54" t="s">
        <v>314</v>
      </c>
      <c r="AB6" s="55">
        <v>0.48449999999999999</v>
      </c>
      <c r="AC6" s="55">
        <f t="shared" si="32"/>
        <v>-1.1666666666665382E-4</v>
      </c>
      <c r="AD6" s="61">
        <f t="shared" si="33"/>
        <v>1.0273818222606215E-4</v>
      </c>
      <c r="AE6" s="54">
        <v>0.45</v>
      </c>
      <c r="AF6" s="59" t="s">
        <v>331</v>
      </c>
      <c r="AH6" s="38">
        <f t="shared" si="17"/>
        <v>0.51512500000000006</v>
      </c>
      <c r="AI6" s="39">
        <f t="shared" si="18"/>
        <v>-1.1666666666665382E-4</v>
      </c>
      <c r="AJ6" s="39">
        <f t="shared" ref="AJ6:AJ7" si="37">RSQ(AK6:AW6,AK$3:AW$3)</f>
        <v>1.0273818222606215E-4</v>
      </c>
      <c r="AK6" s="40" t="str">
        <f t="shared" si="19"/>
        <v/>
      </c>
      <c r="AL6" s="40" t="str">
        <f t="shared" si="20"/>
        <v/>
      </c>
      <c r="AM6" s="40">
        <f t="shared" si="21"/>
        <v>7.8416666666665247E-3</v>
      </c>
      <c r="AN6" s="40" t="str">
        <f t="shared" si="22"/>
        <v/>
      </c>
      <c r="AO6" s="40" t="str">
        <f t="shared" si="23"/>
        <v/>
      </c>
      <c r="AP6" s="40">
        <f t="shared" si="24"/>
        <v>5.3991666666666549E-2</v>
      </c>
      <c r="AQ6" s="40" t="str">
        <f t="shared" si="25"/>
        <v/>
      </c>
      <c r="AR6" s="40" t="str">
        <f t="shared" si="26"/>
        <v/>
      </c>
      <c r="AS6" s="40">
        <f t="shared" si="27"/>
        <v>-0.12835833333333335</v>
      </c>
      <c r="AT6" s="40" t="str">
        <f t="shared" si="28"/>
        <v/>
      </c>
      <c r="AU6" s="40" t="str">
        <f t="shared" si="29"/>
        <v/>
      </c>
      <c r="AV6" s="40">
        <f t="shared" si="30"/>
        <v>6.6291666666666749E-2</v>
      </c>
      <c r="AW6" s="40" t="str">
        <f t="shared" si="31"/>
        <v/>
      </c>
      <c r="AX6" s="43" t="s">
        <v>163</v>
      </c>
      <c r="AY6" s="44" t="e">
        <f>#REF!</f>
        <v>#REF!</v>
      </c>
      <c r="AZ6" s="34">
        <v>3</v>
      </c>
      <c r="BA6" s="34"/>
      <c r="BB6" s="34" t="str">
        <f t="shared" si="35"/>
        <v>n.b.</v>
      </c>
      <c r="BC6" s="34" t="str">
        <f t="shared" si="36"/>
        <v>n.b.</v>
      </c>
    </row>
    <row r="7" spans="1:55" s="36" customFormat="1" ht="76.349999999999994" customHeight="1" x14ac:dyDescent="0.3">
      <c r="A7" s="53">
        <v>4</v>
      </c>
      <c r="B7" s="53" t="str">
        <f>WLs!C7</f>
        <v>Tochten DE Zuidlob</v>
      </c>
      <c r="C7" s="35"/>
      <c r="D7" s="35"/>
      <c r="E7" s="35">
        <v>0.51375000000000004</v>
      </c>
      <c r="F7" s="35"/>
      <c r="G7" s="35"/>
      <c r="H7" s="35">
        <v>0.52524999999999999</v>
      </c>
      <c r="I7" s="35"/>
      <c r="J7" s="35"/>
      <c r="K7" s="35">
        <v>0.51600000000000001</v>
      </c>
      <c r="L7" s="35"/>
      <c r="M7" s="35"/>
      <c r="N7" s="35">
        <v>0.54574999999999996</v>
      </c>
      <c r="O7" s="35"/>
      <c r="P7" s="59" t="s">
        <v>329</v>
      </c>
      <c r="Q7" s="59"/>
      <c r="R7" s="54"/>
      <c r="S7" s="54"/>
      <c r="T7" s="54" t="s">
        <v>330</v>
      </c>
      <c r="U7" s="55">
        <v>0.51949999999999996</v>
      </c>
      <c r="V7" s="55" t="s">
        <v>314</v>
      </c>
      <c r="W7" s="56" t="s">
        <v>305</v>
      </c>
      <c r="X7" s="55">
        <v>0.52</v>
      </c>
      <c r="Y7" s="54" t="s">
        <v>314</v>
      </c>
      <c r="Z7" s="54" t="s">
        <v>314</v>
      </c>
      <c r="AA7" s="54" t="s">
        <v>314</v>
      </c>
      <c r="AB7" s="55">
        <v>0.53087499999999999</v>
      </c>
      <c r="AC7" s="55">
        <f t="shared" si="32"/>
        <v>2.8916666666666591E-3</v>
      </c>
      <c r="AD7" s="61">
        <f t="shared" si="33"/>
        <v>0.85184700443224426</v>
      </c>
      <c r="AE7" s="54">
        <v>0.49</v>
      </c>
      <c r="AF7" s="59" t="s">
        <v>332</v>
      </c>
      <c r="AH7" s="38">
        <f t="shared" si="17"/>
        <v>0.52518750000000003</v>
      </c>
      <c r="AI7" s="39">
        <f t="shared" si="18"/>
        <v>2.8916666666666591E-3</v>
      </c>
      <c r="AJ7" s="39">
        <f t="shared" si="37"/>
        <v>0.85184700443224426</v>
      </c>
      <c r="AK7" s="40" t="str">
        <f t="shared" si="19"/>
        <v/>
      </c>
      <c r="AL7" s="40" t="str">
        <f t="shared" si="20"/>
        <v/>
      </c>
      <c r="AM7" s="40">
        <f t="shared" si="21"/>
        <v>-2.3004166666666624E-2</v>
      </c>
      <c r="AN7" s="40" t="str">
        <f t="shared" si="22"/>
        <v/>
      </c>
      <c r="AO7" s="40" t="str">
        <f t="shared" si="23"/>
        <v/>
      </c>
      <c r="AP7" s="40">
        <f t="shared" si="24"/>
        <v>-2.8291666666666938E-3</v>
      </c>
      <c r="AQ7" s="40" t="str">
        <f t="shared" si="25"/>
        <v/>
      </c>
      <c r="AR7" s="40" t="str">
        <f t="shared" si="26"/>
        <v/>
      </c>
      <c r="AS7" s="40">
        <f t="shared" si="27"/>
        <v>-3.4041666666666968E-3</v>
      </c>
      <c r="AT7" s="40" t="str">
        <f t="shared" si="28"/>
        <v/>
      </c>
      <c r="AU7" s="40" t="str">
        <f t="shared" si="29"/>
        <v/>
      </c>
      <c r="AV7" s="40">
        <f t="shared" si="30"/>
        <v>3.5020833333333223E-2</v>
      </c>
      <c r="AW7" s="40" t="str">
        <f t="shared" si="31"/>
        <v/>
      </c>
      <c r="AX7" s="43" t="s">
        <v>163</v>
      </c>
      <c r="AY7" s="44" t="e">
        <f t="shared" ref="AY7:AY12" si="38">AY6</f>
        <v>#REF!</v>
      </c>
      <c r="AZ7" s="34">
        <v>4</v>
      </c>
      <c r="BA7" s="34"/>
      <c r="BB7" s="34" t="str">
        <f t="shared" si="35"/>
        <v>n.b.</v>
      </c>
      <c r="BC7" s="34" t="str">
        <f t="shared" si="36"/>
        <v>n.b.</v>
      </c>
    </row>
    <row r="8" spans="1:55" s="36" customFormat="1" ht="72" x14ac:dyDescent="0.3">
      <c r="A8" s="53">
        <v>5</v>
      </c>
      <c r="B8" s="53" t="str">
        <f>WLs!C8</f>
        <v>Tochten FGIK</v>
      </c>
      <c r="C8" s="35"/>
      <c r="D8" s="35"/>
      <c r="E8" s="35">
        <v>0.57463636363636361</v>
      </c>
      <c r="F8" s="35"/>
      <c r="G8" s="35"/>
      <c r="H8" s="35">
        <v>0.43072727272727268</v>
      </c>
      <c r="I8" s="35"/>
      <c r="J8" s="35"/>
      <c r="K8" s="35">
        <v>0.5194545454545455</v>
      </c>
      <c r="L8" s="35"/>
      <c r="M8" s="35"/>
      <c r="N8" s="35">
        <v>0.55045454545454564</v>
      </c>
      <c r="O8" s="35"/>
      <c r="P8" s="54">
        <v>0.44959090909090904</v>
      </c>
      <c r="Q8" s="59" t="s">
        <v>333</v>
      </c>
      <c r="R8" s="54">
        <v>0.5</v>
      </c>
      <c r="S8" s="54">
        <v>0</v>
      </c>
      <c r="T8" s="54">
        <f>VLOOKUP(A8,WLs!$A$4:$J$23,8,FALSE)</f>
        <v>0.5</v>
      </c>
      <c r="U8" s="55">
        <v>0.503</v>
      </c>
      <c r="V8" s="55">
        <v>5.3409090909090962E-2</v>
      </c>
      <c r="W8" s="56" t="s">
        <v>334</v>
      </c>
      <c r="X8" s="55">
        <v>0.55000000000000004</v>
      </c>
      <c r="Y8" s="54">
        <v>0.45</v>
      </c>
      <c r="Z8" s="74">
        <v>0.44</v>
      </c>
      <c r="AA8" s="54">
        <v>0.44</v>
      </c>
      <c r="AB8" s="55">
        <v>0.53500000000000003</v>
      </c>
      <c r="AC8" s="55">
        <f t="shared" si="32"/>
        <v>5.3939393939396354E-4</v>
      </c>
      <c r="AD8" s="61">
        <f t="shared" si="33"/>
        <v>4.3948709121108733E-3</v>
      </c>
      <c r="AE8" s="54">
        <v>0.52</v>
      </c>
      <c r="AF8" s="59" t="s">
        <v>335</v>
      </c>
      <c r="AH8" s="38">
        <f t="shared" si="17"/>
        <v>0.51881818181818184</v>
      </c>
      <c r="AI8" s="39">
        <f t="shared" si="18"/>
        <v>5.3939393939396354E-4</v>
      </c>
      <c r="AJ8" s="39">
        <f t="shared" si="34"/>
        <v>4.3948709121108733E-3</v>
      </c>
      <c r="AK8" s="40" t="str">
        <f t="shared" si="19"/>
        <v/>
      </c>
      <c r="AL8" s="40" t="str">
        <f t="shared" si="20"/>
        <v/>
      </c>
      <c r="AM8" s="40">
        <f t="shared" si="21"/>
        <v>5.3660606060605916E-2</v>
      </c>
      <c r="AN8" s="40" t="str">
        <f t="shared" si="22"/>
        <v/>
      </c>
      <c r="AO8" s="40" t="str">
        <f t="shared" si="23"/>
        <v/>
      </c>
      <c r="AP8" s="40">
        <f t="shared" si="24"/>
        <v>-8.8630303030303129E-2</v>
      </c>
      <c r="AQ8" s="40" t="str">
        <f t="shared" si="25"/>
        <v/>
      </c>
      <c r="AR8" s="40" t="str">
        <f t="shared" si="26"/>
        <v/>
      </c>
      <c r="AS8" s="40">
        <f t="shared" si="27"/>
        <v>1.7151515151515842E-3</v>
      </c>
      <c r="AT8" s="40" t="str">
        <f t="shared" si="28"/>
        <v/>
      </c>
      <c r="AU8" s="40" t="str">
        <f t="shared" si="29"/>
        <v/>
      </c>
      <c r="AV8" s="40">
        <f t="shared" si="30"/>
        <v>3.4333333333333611E-2</v>
      </c>
      <c r="AW8" s="40" t="str">
        <f t="shared" si="31"/>
        <v/>
      </c>
      <c r="AX8" s="43" t="s">
        <v>163</v>
      </c>
      <c r="AY8" s="44" t="e">
        <f t="shared" si="38"/>
        <v>#REF!</v>
      </c>
      <c r="AZ8" s="34">
        <v>5</v>
      </c>
      <c r="BA8" s="34">
        <v>1</v>
      </c>
      <c r="BB8" s="34" t="str">
        <f t="shared" si="35"/>
        <v>Landelijke tussenevaluatie</v>
      </c>
      <c r="BC8" s="34">
        <f t="shared" si="36"/>
        <v>0.44</v>
      </c>
    </row>
    <row r="9" spans="1:55" s="36" customFormat="1" ht="92.25" customHeight="1" x14ac:dyDescent="0.3">
      <c r="A9" s="53">
        <v>6</v>
      </c>
      <c r="B9" s="53" t="str">
        <f>WLs!C9</f>
        <v>Tochten H</v>
      </c>
      <c r="C9" s="35"/>
      <c r="D9" s="35">
        <v>0.66799999999999993</v>
      </c>
      <c r="E9" s="35"/>
      <c r="F9" s="35"/>
      <c r="G9" s="35">
        <v>0.621</v>
      </c>
      <c r="H9" s="35"/>
      <c r="I9" s="35"/>
      <c r="J9" s="35">
        <v>0.57279999999999998</v>
      </c>
      <c r="K9" s="35"/>
      <c r="L9" s="35"/>
      <c r="M9" s="35">
        <v>0.67999999999999994</v>
      </c>
      <c r="N9" s="35"/>
      <c r="O9" s="35"/>
      <c r="P9" s="81" t="s">
        <v>336</v>
      </c>
      <c r="Q9" s="59" t="s">
        <v>337</v>
      </c>
      <c r="R9" s="54">
        <v>0.59000000000000008</v>
      </c>
      <c r="S9" s="54">
        <v>-0.04</v>
      </c>
      <c r="T9" s="54">
        <f>VLOOKUP(A9,WLs!$A$4:$J$23,8,FALSE)</f>
        <v>0.55000000000000004</v>
      </c>
      <c r="U9" s="82" t="s">
        <v>338</v>
      </c>
      <c r="V9" s="55">
        <v>5.4499999999999993E-2</v>
      </c>
      <c r="W9" s="56" t="s">
        <v>305</v>
      </c>
      <c r="X9" s="55">
        <v>0.64</v>
      </c>
      <c r="Y9" s="81" t="s">
        <v>339</v>
      </c>
      <c r="Z9" s="54">
        <v>0.52</v>
      </c>
      <c r="AA9" s="74">
        <v>0.46</v>
      </c>
      <c r="AB9" s="55">
        <v>0.62639999999999996</v>
      </c>
      <c r="AC9" s="55">
        <f t="shared" si="32"/>
        <v>-4.0666666666666629E-4</v>
      </c>
      <c r="AD9" s="61">
        <f t="shared" si="33"/>
        <v>4.1342400292429943E-3</v>
      </c>
      <c r="AE9" s="54">
        <v>0.6</v>
      </c>
      <c r="AF9" s="89" t="s">
        <v>340</v>
      </c>
      <c r="AH9" s="38">
        <f t="shared" si="17"/>
        <v>0.63544999999999996</v>
      </c>
      <c r="AI9" s="39">
        <f t="shared" si="18"/>
        <v>-4.0666666666666629E-4</v>
      </c>
      <c r="AJ9" s="39">
        <f t="shared" si="34"/>
        <v>4.1342400292429943E-3</v>
      </c>
      <c r="AK9" s="40" t="str">
        <f t="shared" si="19"/>
        <v/>
      </c>
      <c r="AL9" s="40">
        <f t="shared" si="20"/>
        <v>3.4583333333333299E-2</v>
      </c>
      <c r="AM9" s="40" t="str">
        <f t="shared" si="21"/>
        <v/>
      </c>
      <c r="AN9" s="40" t="str">
        <f t="shared" si="22"/>
        <v/>
      </c>
      <c r="AO9" s="40">
        <f t="shared" si="23"/>
        <v>-1.363666666666663E-2</v>
      </c>
      <c r="AP9" s="40" t="str">
        <f t="shared" si="24"/>
        <v/>
      </c>
      <c r="AQ9" s="40" t="str">
        <f t="shared" si="25"/>
        <v/>
      </c>
      <c r="AR9" s="40">
        <f t="shared" si="26"/>
        <v>-6.305666666666665E-2</v>
      </c>
      <c r="AS9" s="40" t="str">
        <f t="shared" si="27"/>
        <v/>
      </c>
      <c r="AT9" s="40" t="str">
        <f t="shared" si="28"/>
        <v/>
      </c>
      <c r="AU9" s="40">
        <f t="shared" si="29"/>
        <v>4.2923333333333313E-2</v>
      </c>
      <c r="AV9" s="40" t="str">
        <f t="shared" si="30"/>
        <v/>
      </c>
      <c r="AW9" s="40" t="str">
        <f t="shared" si="31"/>
        <v/>
      </c>
      <c r="AX9" s="43" t="s">
        <v>163</v>
      </c>
      <c r="AY9" s="44" t="e">
        <f t="shared" si="38"/>
        <v>#REF!</v>
      </c>
      <c r="AZ9" s="34">
        <v>6</v>
      </c>
      <c r="BA9" s="34">
        <v>2</v>
      </c>
      <c r="BB9" s="34" t="str">
        <f t="shared" si="35"/>
        <v>Berekening met concentratie nutriënten gelijk aan norm</v>
      </c>
      <c r="BC9" s="34">
        <f t="shared" si="36"/>
        <v>0.46</v>
      </c>
    </row>
    <row r="10" spans="1:55" s="36" customFormat="1" ht="190.35" customHeight="1" x14ac:dyDescent="0.3">
      <c r="A10" s="53">
        <v>7</v>
      </c>
      <c r="B10" s="53" t="str">
        <f>WLs!C10</f>
        <v>Tochten J</v>
      </c>
      <c r="C10" s="35"/>
      <c r="D10" s="35">
        <v>0.52800000000000002</v>
      </c>
      <c r="E10" s="35"/>
      <c r="F10" s="35"/>
      <c r="G10" s="35">
        <v>0.43</v>
      </c>
      <c r="H10" s="35"/>
      <c r="I10" s="35"/>
      <c r="J10" s="35">
        <v>0.41499999999999998</v>
      </c>
      <c r="K10" s="35"/>
      <c r="L10" s="35"/>
      <c r="M10" s="35">
        <v>0.376</v>
      </c>
      <c r="N10" s="35"/>
      <c r="O10" s="35"/>
      <c r="P10" s="83" t="s">
        <v>341</v>
      </c>
      <c r="Q10" s="59" t="s">
        <v>342</v>
      </c>
      <c r="R10" s="54"/>
      <c r="S10" s="54"/>
      <c r="T10" s="54">
        <f>VLOOKUP(A10,WLs!$A$4:$J$23,8,FALSE)</f>
        <v>0.4</v>
      </c>
      <c r="U10" s="82" t="s">
        <v>343</v>
      </c>
      <c r="V10" s="55">
        <v>6.6000000000000003E-2</v>
      </c>
      <c r="W10" s="56" t="s">
        <v>344</v>
      </c>
      <c r="X10" s="55">
        <v>0.51</v>
      </c>
      <c r="Y10" s="81" t="s">
        <v>345</v>
      </c>
      <c r="Z10" s="54">
        <v>0.38</v>
      </c>
      <c r="AA10" s="74">
        <v>0.4</v>
      </c>
      <c r="AB10" s="55">
        <v>0.3906</v>
      </c>
      <c r="AC10" s="55">
        <f t="shared" si="32"/>
        <v>-1.5700000000000002E-2</v>
      </c>
      <c r="AD10" s="61">
        <f t="shared" si="33"/>
        <v>0.96850749494116029</v>
      </c>
      <c r="AE10" s="54">
        <v>0.36</v>
      </c>
      <c r="AF10" s="59" t="s">
        <v>346</v>
      </c>
      <c r="AH10" s="38">
        <f t="shared" si="17"/>
        <v>0.43725000000000003</v>
      </c>
      <c r="AI10" s="39">
        <f t="shared" si="18"/>
        <v>-1.5700000000000002E-2</v>
      </c>
      <c r="AJ10" s="39">
        <f t="shared" si="34"/>
        <v>0.96850749494116029</v>
      </c>
      <c r="AK10" s="40" t="str">
        <f t="shared" si="19"/>
        <v/>
      </c>
      <c r="AL10" s="40">
        <f t="shared" si="20"/>
        <v>0.16925000000000001</v>
      </c>
      <c r="AM10" s="40" t="str">
        <f t="shared" si="21"/>
        <v/>
      </c>
      <c r="AN10" s="40" t="str">
        <f t="shared" si="22"/>
        <v/>
      </c>
      <c r="AO10" s="40">
        <f t="shared" si="23"/>
        <v>2.414999999999997E-2</v>
      </c>
      <c r="AP10" s="40" t="str">
        <f t="shared" si="24"/>
        <v/>
      </c>
      <c r="AQ10" s="40" t="str">
        <f t="shared" si="25"/>
        <v/>
      </c>
      <c r="AR10" s="40">
        <f t="shared" si="26"/>
        <v>-3.7950000000000053E-2</v>
      </c>
      <c r="AS10" s="40" t="str">
        <f t="shared" si="27"/>
        <v/>
      </c>
      <c r="AT10" s="40" t="str">
        <f t="shared" si="28"/>
        <v/>
      </c>
      <c r="AU10" s="40">
        <f t="shared" si="29"/>
        <v>-0.12405000000000004</v>
      </c>
      <c r="AV10" s="40" t="str">
        <f t="shared" si="30"/>
        <v/>
      </c>
      <c r="AW10" s="40" t="str">
        <f t="shared" si="31"/>
        <v/>
      </c>
      <c r="AX10" s="43" t="s">
        <v>163</v>
      </c>
      <c r="AY10" s="44" t="e">
        <f t="shared" si="38"/>
        <v>#REF!</v>
      </c>
      <c r="AZ10" s="34">
        <v>7</v>
      </c>
      <c r="BA10" s="34">
        <v>2</v>
      </c>
      <c r="BB10" s="34" t="str">
        <f t="shared" si="35"/>
        <v>Berekening met concentratie nutriënten gelijk aan norm</v>
      </c>
      <c r="BC10" s="34">
        <f t="shared" si="36"/>
        <v>0.4</v>
      </c>
    </row>
    <row r="11" spans="1:55" s="36" customFormat="1" ht="62.1" customHeight="1" x14ac:dyDescent="0.3">
      <c r="A11" s="53">
        <v>8</v>
      </c>
      <c r="B11" s="53" t="str">
        <f>WLs!C11</f>
        <v>Tochten lage afdeling NOP</v>
      </c>
      <c r="C11" s="35">
        <v>0.49426666666666669</v>
      </c>
      <c r="D11" s="35"/>
      <c r="E11" s="35"/>
      <c r="F11" s="35">
        <v>0.50086666666666657</v>
      </c>
      <c r="G11" s="35"/>
      <c r="H11" s="35"/>
      <c r="I11" s="35">
        <v>0.58020000000000005</v>
      </c>
      <c r="J11" s="35"/>
      <c r="K11" s="35"/>
      <c r="L11" s="35">
        <v>0.59919999999999995</v>
      </c>
      <c r="M11" s="35"/>
      <c r="N11" s="35"/>
      <c r="O11" s="35">
        <v>0.55633333333333324</v>
      </c>
      <c r="P11" s="54">
        <v>0.50060000000000004</v>
      </c>
      <c r="Q11" s="59" t="s">
        <v>305</v>
      </c>
      <c r="R11" s="54">
        <v>0.5</v>
      </c>
      <c r="S11" s="54">
        <v>0</v>
      </c>
      <c r="T11" s="54">
        <f>VLOOKUP(A11,WLs!$A$4:$J$23,8,FALSE)</f>
        <v>0.5</v>
      </c>
      <c r="U11" s="55">
        <v>0.54049999999999998</v>
      </c>
      <c r="V11" s="55">
        <v>3.9899999999999936E-2</v>
      </c>
      <c r="W11" s="56" t="s">
        <v>347</v>
      </c>
      <c r="X11" s="55">
        <v>0.56000000000000005</v>
      </c>
      <c r="Y11" s="54">
        <v>0.55000000000000004</v>
      </c>
      <c r="Z11" s="54">
        <v>0.56000000000000005</v>
      </c>
      <c r="AA11" s="74">
        <v>0.53</v>
      </c>
      <c r="AB11" s="55">
        <v>0.57799999999999996</v>
      </c>
      <c r="AC11" s="55">
        <f t="shared" si="32"/>
        <v>7.4155555555555494E-3</v>
      </c>
      <c r="AD11" s="61">
        <f t="shared" si="33"/>
        <v>0.8364526911302359</v>
      </c>
      <c r="AE11" s="54">
        <v>0.53</v>
      </c>
      <c r="AF11" s="59" t="s">
        <v>348</v>
      </c>
      <c r="AH11" s="38">
        <f t="shared" si="17"/>
        <v>0.54617333333333329</v>
      </c>
      <c r="AI11" s="39">
        <f t="shared" si="18"/>
        <v>7.4155555555555494E-3</v>
      </c>
      <c r="AJ11" s="39">
        <f t="shared" si="34"/>
        <v>0.8364526911302359</v>
      </c>
      <c r="AK11" s="40">
        <f t="shared" si="19"/>
        <v>-9.6399999999999902E-2</v>
      </c>
      <c r="AL11" s="40" t="str">
        <f t="shared" si="20"/>
        <v/>
      </c>
      <c r="AM11" s="40" t="str">
        <f t="shared" si="21"/>
        <v/>
      </c>
      <c r="AN11" s="40">
        <f t="shared" si="22"/>
        <v>-6.7553333333333368E-2</v>
      </c>
      <c r="AO11" s="40" t="str">
        <f t="shared" si="23"/>
        <v/>
      </c>
      <c r="AP11" s="40" t="str">
        <f t="shared" si="24"/>
        <v/>
      </c>
      <c r="AQ11" s="40">
        <f t="shared" si="25"/>
        <v>3.4026666666666761E-2</v>
      </c>
      <c r="AR11" s="40" t="str">
        <f t="shared" si="26"/>
        <v/>
      </c>
      <c r="AS11" s="40" t="str">
        <f t="shared" si="27"/>
        <v/>
      </c>
      <c r="AT11" s="40">
        <f t="shared" si="28"/>
        <v>7.5273333333333317E-2</v>
      </c>
      <c r="AU11" s="40" t="str">
        <f t="shared" si="29"/>
        <v/>
      </c>
      <c r="AV11" s="40" t="str">
        <f t="shared" si="30"/>
        <v/>
      </c>
      <c r="AW11" s="40">
        <f t="shared" si="31"/>
        <v>5.4653333333333241E-2</v>
      </c>
      <c r="AX11" s="43" t="s">
        <v>163</v>
      </c>
      <c r="AY11" s="44" t="e">
        <f t="shared" si="38"/>
        <v>#REF!</v>
      </c>
      <c r="AZ11" s="34">
        <v>8</v>
      </c>
      <c r="BA11" s="34">
        <v>2</v>
      </c>
      <c r="BB11" s="34" t="str">
        <f t="shared" si="35"/>
        <v>Berekening met concentratie nutriënten gelijk aan norm</v>
      </c>
      <c r="BC11" s="34">
        <f t="shared" si="36"/>
        <v>0.53</v>
      </c>
    </row>
    <row r="12" spans="1:55" s="36" customFormat="1" ht="64.349999999999994" customHeight="1" x14ac:dyDescent="0.3">
      <c r="A12" s="53">
        <v>9</v>
      </c>
      <c r="B12" s="53" t="str">
        <f>WLs!C12</f>
        <v>Tochten hoge afdeling NOP</v>
      </c>
      <c r="C12" s="35"/>
      <c r="D12" s="35">
        <v>0.5807500000000001</v>
      </c>
      <c r="E12" s="35"/>
      <c r="F12" s="35"/>
      <c r="G12" s="35">
        <v>0.71299999999999997</v>
      </c>
      <c r="H12" s="35"/>
      <c r="I12" s="35"/>
      <c r="J12" s="35">
        <v>0.68359999999999999</v>
      </c>
      <c r="K12" s="35"/>
      <c r="L12" s="35"/>
      <c r="M12" s="35">
        <v>0.65739999999999998</v>
      </c>
      <c r="N12" s="35"/>
      <c r="O12" s="35"/>
      <c r="P12" s="54">
        <v>0.62062499999999998</v>
      </c>
      <c r="Q12" s="59" t="s">
        <v>305</v>
      </c>
      <c r="R12" s="54">
        <v>0.62</v>
      </c>
      <c r="S12" s="54">
        <v>-0.02</v>
      </c>
      <c r="T12" s="54">
        <f>VLOOKUP(A12,WLs!$A$4:$J$23,8,FALSE)</f>
        <v>0.6</v>
      </c>
      <c r="U12" s="55">
        <v>0.64700000000000002</v>
      </c>
      <c r="V12" s="55">
        <v>2.6375000000000037E-2</v>
      </c>
      <c r="W12" s="56" t="s">
        <v>347</v>
      </c>
      <c r="X12" s="55">
        <v>0.67</v>
      </c>
      <c r="Y12" s="54">
        <v>0.64</v>
      </c>
      <c r="Z12" s="74">
        <v>0.68</v>
      </c>
      <c r="AA12" s="54">
        <v>0.68</v>
      </c>
      <c r="AB12" s="55">
        <v>0.67049999999999998</v>
      </c>
      <c r="AC12" s="55">
        <f t="shared" si="32"/>
        <v>6.6849999999999887E-3</v>
      </c>
      <c r="AD12" s="61">
        <f t="shared" si="33"/>
        <v>0.51303247506539129</v>
      </c>
      <c r="AE12" s="54">
        <v>0.6</v>
      </c>
      <c r="AF12" s="59" t="s">
        <v>349</v>
      </c>
      <c r="AH12" s="38">
        <f t="shared" si="17"/>
        <v>0.65868750000000009</v>
      </c>
      <c r="AI12" s="39">
        <f t="shared" si="18"/>
        <v>6.6849999999999887E-3</v>
      </c>
      <c r="AJ12" s="39">
        <f t="shared" si="34"/>
        <v>0.51303247506539129</v>
      </c>
      <c r="AK12" s="40" t="str">
        <f t="shared" si="19"/>
        <v/>
      </c>
      <c r="AL12" s="40">
        <f t="shared" si="20"/>
        <v>-0.11136249999999993</v>
      </c>
      <c r="AM12" s="40" t="str">
        <f t="shared" si="21"/>
        <v/>
      </c>
      <c r="AN12" s="40" t="str">
        <f t="shared" si="22"/>
        <v/>
      </c>
      <c r="AO12" s="40">
        <f t="shared" si="23"/>
        <v>4.0942499999999896E-2</v>
      </c>
      <c r="AP12" s="40" t="str">
        <f t="shared" si="24"/>
        <v/>
      </c>
      <c r="AQ12" s="40" t="str">
        <f t="shared" si="25"/>
        <v/>
      </c>
      <c r="AR12" s="40">
        <f t="shared" si="26"/>
        <v>3.1597499999999883E-2</v>
      </c>
      <c r="AS12" s="40" t="str">
        <f t="shared" si="27"/>
        <v/>
      </c>
      <c r="AT12" s="40" t="str">
        <f t="shared" si="28"/>
        <v/>
      </c>
      <c r="AU12" s="40">
        <f t="shared" si="29"/>
        <v>2.5452499999999847E-2</v>
      </c>
      <c r="AV12" s="40" t="str">
        <f t="shared" si="30"/>
        <v/>
      </c>
      <c r="AW12" s="40" t="str">
        <f t="shared" si="31"/>
        <v/>
      </c>
      <c r="AX12" s="43" t="s">
        <v>163</v>
      </c>
      <c r="AY12" s="44" t="e">
        <f t="shared" si="38"/>
        <v>#REF!</v>
      </c>
      <c r="AZ12" s="34">
        <v>9</v>
      </c>
      <c r="BA12" s="34">
        <v>1</v>
      </c>
      <c r="BB12" s="34" t="str">
        <f t="shared" si="35"/>
        <v>Landelijke tussenevaluatie</v>
      </c>
      <c r="BC12" s="34">
        <f t="shared" si="36"/>
        <v>0.68</v>
      </c>
    </row>
    <row r="13" spans="1:55" s="36" customFormat="1" ht="92.25" customHeight="1" x14ac:dyDescent="0.3">
      <c r="A13" s="53">
        <v>10</v>
      </c>
      <c r="B13" s="53" t="str">
        <f>WLs!C13</f>
        <v>Vaarten NOP</v>
      </c>
      <c r="C13" s="35">
        <v>0.49957142857142856</v>
      </c>
      <c r="D13" s="35"/>
      <c r="E13" s="35"/>
      <c r="F13" s="35">
        <v>0.55099999999999993</v>
      </c>
      <c r="G13" s="35"/>
      <c r="H13" s="35"/>
      <c r="I13" s="35">
        <v>0.48757142857142854</v>
      </c>
      <c r="J13" s="35"/>
      <c r="K13" s="35"/>
      <c r="L13" s="35">
        <v>0.72257142857142853</v>
      </c>
      <c r="M13" s="35"/>
      <c r="N13" s="35"/>
      <c r="O13" s="35">
        <v>0.72371428571428564</v>
      </c>
      <c r="P13" s="54">
        <v>0.65266666666666673</v>
      </c>
      <c r="Q13" s="59" t="s">
        <v>350</v>
      </c>
      <c r="R13" s="54"/>
      <c r="S13" s="54"/>
      <c r="T13" s="54">
        <f>VLOOKUP(A13,WLs!$A$4:$J$23,8,FALSE)</f>
        <v>0.6</v>
      </c>
      <c r="U13" s="55">
        <v>0.51928571428571424</v>
      </c>
      <c r="V13" s="55">
        <v>-0.13</v>
      </c>
      <c r="W13" s="56" t="s">
        <v>351</v>
      </c>
      <c r="X13" s="55">
        <v>0.62</v>
      </c>
      <c r="Y13" s="54">
        <v>0.59</v>
      </c>
      <c r="Z13" s="74">
        <v>0.6</v>
      </c>
      <c r="AA13" s="54">
        <v>0.55000000000000004</v>
      </c>
      <c r="AB13" s="55">
        <v>0.72314285714285709</v>
      </c>
      <c r="AC13" s="55">
        <f t="shared" si="32"/>
        <v>2.0661904761904756E-2</v>
      </c>
      <c r="AD13" s="61">
        <f t="shared" si="33"/>
        <v>0.90048140467844551</v>
      </c>
      <c r="AE13" s="54">
        <v>0.6</v>
      </c>
      <c r="AF13" s="59" t="s">
        <v>750</v>
      </c>
      <c r="AH13" s="38">
        <f t="shared" si="17"/>
        <v>0.59688571428571424</v>
      </c>
      <c r="AI13" s="39">
        <f t="shared" si="18"/>
        <v>2.0661904761904756E-2</v>
      </c>
      <c r="AJ13" s="39">
        <f t="shared" si="34"/>
        <v>0.90048140467844551</v>
      </c>
      <c r="AK13" s="40">
        <f t="shared" si="19"/>
        <v>-0.22128571428571422</v>
      </c>
      <c r="AL13" s="40" t="str">
        <f t="shared" si="20"/>
        <v/>
      </c>
      <c r="AM13" s="40" t="str">
        <f t="shared" si="21"/>
        <v/>
      </c>
      <c r="AN13" s="40">
        <f t="shared" si="22"/>
        <v>-0.10787142857142858</v>
      </c>
      <c r="AO13" s="40" t="str">
        <f t="shared" si="23"/>
        <v/>
      </c>
      <c r="AP13" s="40" t="str">
        <f t="shared" si="24"/>
        <v/>
      </c>
      <c r="AQ13" s="40">
        <f t="shared" si="25"/>
        <v>-0.1093142857142857</v>
      </c>
      <c r="AR13" s="40" t="str">
        <f t="shared" si="26"/>
        <v/>
      </c>
      <c r="AS13" s="40" t="str">
        <f t="shared" si="27"/>
        <v/>
      </c>
      <c r="AT13" s="40">
        <f t="shared" si="28"/>
        <v>0.18767142857142854</v>
      </c>
      <c r="AU13" s="40" t="str">
        <f t="shared" si="29"/>
        <v/>
      </c>
      <c r="AV13" s="40" t="str">
        <f t="shared" si="30"/>
        <v/>
      </c>
      <c r="AW13" s="40">
        <f t="shared" si="31"/>
        <v>0.25079999999999991</v>
      </c>
      <c r="AX13" s="41" t="s">
        <v>165</v>
      </c>
      <c r="AY13" s="42">
        <f>_xlfn.STDEV.S(AK13:AW15)</f>
        <v>0.12692417997816122</v>
      </c>
      <c r="AZ13" s="34">
        <v>10</v>
      </c>
      <c r="BA13" s="34">
        <v>1</v>
      </c>
      <c r="BB13" s="34" t="str">
        <f t="shared" si="35"/>
        <v>Landelijke tussenevaluatie</v>
      </c>
      <c r="BC13" s="34">
        <f t="shared" si="36"/>
        <v>0.6</v>
      </c>
    </row>
    <row r="14" spans="1:55" s="36" customFormat="1" ht="80.55" customHeight="1" x14ac:dyDescent="0.3">
      <c r="A14" s="53">
        <v>11</v>
      </c>
      <c r="B14" s="53" t="str">
        <f>WLs!C14</f>
        <v>Vaarten hoge afdeling ZOF</v>
      </c>
      <c r="C14" s="35"/>
      <c r="D14" s="35">
        <v>0.48875000000000002</v>
      </c>
      <c r="E14" s="35"/>
      <c r="F14" s="35"/>
      <c r="G14" s="35">
        <v>0.53100000000000003</v>
      </c>
      <c r="H14" s="35"/>
      <c r="I14" s="35"/>
      <c r="J14" s="35">
        <v>0.51049999999999995</v>
      </c>
      <c r="K14" s="35"/>
      <c r="L14" s="35"/>
      <c r="M14" s="35">
        <v>0.55574999999999997</v>
      </c>
      <c r="N14" s="35"/>
      <c r="O14" s="35"/>
      <c r="P14" s="54">
        <v>0.5179285714285714</v>
      </c>
      <c r="Q14" s="59" t="s">
        <v>352</v>
      </c>
      <c r="R14" s="54"/>
      <c r="S14" s="54"/>
      <c r="T14" s="54">
        <f>VLOOKUP(A14,WLs!$A$4:$J$23,8,FALSE)</f>
        <v>0.55000000000000004</v>
      </c>
      <c r="U14" s="55">
        <v>0.50987500000000008</v>
      </c>
      <c r="V14" s="55">
        <v>-0.01</v>
      </c>
      <c r="W14" s="56" t="s">
        <v>353</v>
      </c>
      <c r="X14" s="55">
        <v>0.56000000000000005</v>
      </c>
      <c r="Y14" s="54">
        <v>0.5</v>
      </c>
      <c r="Z14" s="54">
        <v>0.56999999999999995</v>
      </c>
      <c r="AA14" s="74">
        <v>0.56000000000000005</v>
      </c>
      <c r="AB14" s="55">
        <v>0.53312499999999996</v>
      </c>
      <c r="AC14" s="55">
        <f t="shared" si="32"/>
        <v>6.0166666666666589E-3</v>
      </c>
      <c r="AD14" s="61">
        <f t="shared" si="33"/>
        <v>0.88727228163461869</v>
      </c>
      <c r="AE14" s="54">
        <v>0.53</v>
      </c>
      <c r="AF14" s="59" t="s">
        <v>751</v>
      </c>
      <c r="AH14" s="38">
        <f t="shared" si="17"/>
        <v>0.52150000000000007</v>
      </c>
      <c r="AI14" s="39">
        <f t="shared" si="18"/>
        <v>6.0166666666666589E-3</v>
      </c>
      <c r="AJ14" s="39">
        <f t="shared" si="34"/>
        <v>0.88727228163461869</v>
      </c>
      <c r="AK14" s="40" t="str">
        <f t="shared" si="19"/>
        <v/>
      </c>
      <c r="AL14" s="40">
        <f t="shared" si="20"/>
        <v>-6.2833333333333352E-2</v>
      </c>
      <c r="AM14" s="40" t="str">
        <f t="shared" si="21"/>
        <v/>
      </c>
      <c r="AN14" s="40" t="str">
        <f t="shared" si="22"/>
        <v/>
      </c>
      <c r="AO14" s="40">
        <f t="shared" si="23"/>
        <v>-2.5333333333333648E-3</v>
      </c>
      <c r="AP14" s="40" t="str">
        <f t="shared" si="24"/>
        <v/>
      </c>
      <c r="AQ14" s="40" t="str">
        <f t="shared" si="25"/>
        <v/>
      </c>
      <c r="AR14" s="40">
        <f t="shared" si="26"/>
        <v>-4.9833333333334619E-3</v>
      </c>
      <c r="AS14" s="40" t="str">
        <f t="shared" si="27"/>
        <v/>
      </c>
      <c r="AT14" s="40" t="str">
        <f t="shared" si="28"/>
        <v/>
      </c>
      <c r="AU14" s="40">
        <f t="shared" si="29"/>
        <v>5.8316666666666531E-2</v>
      </c>
      <c r="AV14" s="40" t="str">
        <f t="shared" si="30"/>
        <v/>
      </c>
      <c r="AW14" s="40" t="str">
        <f t="shared" si="31"/>
        <v/>
      </c>
      <c r="AX14" s="45" t="s">
        <v>165</v>
      </c>
      <c r="AY14" s="44">
        <f>AY13</f>
        <v>0.12692417997816122</v>
      </c>
      <c r="AZ14" s="34">
        <v>11</v>
      </c>
      <c r="BA14" s="34">
        <v>2</v>
      </c>
      <c r="BB14" s="34" t="str">
        <f t="shared" si="35"/>
        <v>Berekening met concentratie nutriënten gelijk aan norm</v>
      </c>
      <c r="BC14" s="34">
        <f t="shared" si="36"/>
        <v>0.56000000000000005</v>
      </c>
    </row>
    <row r="15" spans="1:55" s="36" customFormat="1" ht="72" x14ac:dyDescent="0.3">
      <c r="A15" s="53">
        <v>12</v>
      </c>
      <c r="B15" s="53" t="str">
        <f>WLs!C15</f>
        <v>Vaarten lage afdeling ZOF</v>
      </c>
      <c r="C15" s="35"/>
      <c r="D15" s="35"/>
      <c r="E15" s="35">
        <v>0.52239999999999998</v>
      </c>
      <c r="F15" s="35"/>
      <c r="G15" s="35"/>
      <c r="H15" s="35">
        <v>0.43380000000000002</v>
      </c>
      <c r="I15" s="35"/>
      <c r="J15" s="35"/>
      <c r="K15" s="35">
        <v>0.58040000000000003</v>
      </c>
      <c r="L15" s="35"/>
      <c r="M15" s="35"/>
      <c r="N15" s="35">
        <v>0.52880000000000005</v>
      </c>
      <c r="O15" s="35"/>
      <c r="P15" s="54">
        <v>0.46280000000000004</v>
      </c>
      <c r="Q15" s="59" t="s">
        <v>354</v>
      </c>
      <c r="R15" s="54"/>
      <c r="S15" s="54"/>
      <c r="T15" s="54">
        <f>VLOOKUP(A15,WLs!$A$4:$J$23,8,FALSE)</f>
        <v>0.5</v>
      </c>
      <c r="U15" s="55">
        <v>0.47849999999999998</v>
      </c>
      <c r="V15" s="55">
        <v>1.5699999999999936E-2</v>
      </c>
      <c r="W15" s="56" t="s">
        <v>353</v>
      </c>
      <c r="X15" s="55">
        <v>0.53</v>
      </c>
      <c r="Y15" s="54">
        <v>0.39</v>
      </c>
      <c r="Z15" s="74">
        <v>0.37</v>
      </c>
      <c r="AA15" s="54">
        <v>0.34</v>
      </c>
      <c r="AB15" s="55">
        <v>0.55459999999999998</v>
      </c>
      <c r="AC15" s="55">
        <f t="shared" si="32"/>
        <v>5.5266666666666745E-3</v>
      </c>
      <c r="AD15" s="61">
        <f t="shared" si="33"/>
        <v>0.3609469460127126</v>
      </c>
      <c r="AE15" s="54">
        <v>0.5</v>
      </c>
      <c r="AF15" s="59" t="s">
        <v>752</v>
      </c>
      <c r="AH15" s="38">
        <f t="shared" si="17"/>
        <v>0.51634999999999998</v>
      </c>
      <c r="AI15" s="39">
        <f t="shared" si="18"/>
        <v>5.5266666666666745E-3</v>
      </c>
      <c r="AJ15" s="39">
        <f t="shared" si="34"/>
        <v>0.3609469460127126</v>
      </c>
      <c r="AK15" s="40" t="str">
        <f t="shared" si="19"/>
        <v/>
      </c>
      <c r="AL15" s="40" t="str">
        <f t="shared" si="20"/>
        <v/>
      </c>
      <c r="AM15" s="40">
        <f t="shared" si="21"/>
        <v>-1.6056666666666698E-2</v>
      </c>
      <c r="AN15" s="40" t="str">
        <f t="shared" si="22"/>
        <v/>
      </c>
      <c r="AO15" s="40" t="str">
        <f t="shared" si="23"/>
        <v/>
      </c>
      <c r="AP15" s="40">
        <f t="shared" si="24"/>
        <v>-8.8076666666666636E-2</v>
      </c>
      <c r="AQ15" s="40" t="str">
        <f t="shared" si="25"/>
        <v/>
      </c>
      <c r="AR15" s="40" t="str">
        <f t="shared" si="26"/>
        <v/>
      </c>
      <c r="AS15" s="40">
        <f t="shared" si="27"/>
        <v>7.5103333333333397E-2</v>
      </c>
      <c r="AT15" s="40" t="str">
        <f t="shared" si="28"/>
        <v/>
      </c>
      <c r="AU15" s="40" t="str">
        <f t="shared" si="29"/>
        <v/>
      </c>
      <c r="AV15" s="40">
        <f t="shared" si="30"/>
        <v>4.0083333333333443E-2</v>
      </c>
      <c r="AW15" s="40" t="str">
        <f t="shared" si="31"/>
        <v/>
      </c>
      <c r="AX15" s="45" t="s">
        <v>165</v>
      </c>
      <c r="AY15" s="44">
        <f>AY14</f>
        <v>0.12692417997816122</v>
      </c>
      <c r="AZ15" s="34">
        <v>12</v>
      </c>
      <c r="BA15" s="34">
        <v>1</v>
      </c>
      <c r="BB15" s="34" t="str">
        <f t="shared" si="35"/>
        <v>Landelijke tussenevaluatie</v>
      </c>
      <c r="BC15" s="34">
        <f t="shared" si="36"/>
        <v>0.37</v>
      </c>
    </row>
    <row r="16" spans="1:55" s="36" customFormat="1" ht="100.8" x14ac:dyDescent="0.3">
      <c r="A16" s="53">
        <v>13</v>
      </c>
      <c r="B16" s="53" t="str">
        <f>WLs!C16</f>
        <v>Bovenwater</v>
      </c>
      <c r="C16" s="35"/>
      <c r="D16" s="35">
        <v>0.56299999999999994</v>
      </c>
      <c r="E16" s="35"/>
      <c r="F16" s="35"/>
      <c r="G16" s="35">
        <v>0.53700000000000003</v>
      </c>
      <c r="H16" s="35"/>
      <c r="I16" s="35"/>
      <c r="J16" s="35">
        <v>0.67900000000000005</v>
      </c>
      <c r="K16" s="35"/>
      <c r="L16" s="35"/>
      <c r="M16" s="35">
        <v>0.63400000000000001</v>
      </c>
      <c r="N16" s="35"/>
      <c r="O16" s="35"/>
      <c r="P16" s="54">
        <v>0.60699999999999998</v>
      </c>
      <c r="Q16" s="59" t="s">
        <v>305</v>
      </c>
      <c r="R16" s="54">
        <v>0.6100000000000001</v>
      </c>
      <c r="S16" s="54">
        <v>-0.06</v>
      </c>
      <c r="T16" s="54">
        <f>VLOOKUP(A16,WLs!$A$4:$J$23,8,FALSE)</f>
        <v>0.55000000000000004</v>
      </c>
      <c r="U16" s="55">
        <v>0.55000000000000004</v>
      </c>
      <c r="V16" s="55">
        <v>-5.699999999999994E-2</v>
      </c>
      <c r="W16" s="56" t="s">
        <v>305</v>
      </c>
      <c r="X16" s="55">
        <v>0.55000000000000004</v>
      </c>
      <c r="Y16" s="54">
        <v>0.69</v>
      </c>
      <c r="Z16" s="54">
        <v>0.68</v>
      </c>
      <c r="AA16" s="74">
        <v>0.57999999999999996</v>
      </c>
      <c r="AB16" s="55">
        <v>0.65649999999999997</v>
      </c>
      <c r="AC16" s="55">
        <f t="shared" si="32"/>
        <v>1.183333333333334E-2</v>
      </c>
      <c r="AD16" s="61">
        <f t="shared" si="33"/>
        <v>0.79771493678097305</v>
      </c>
      <c r="AE16" s="54">
        <v>0.52</v>
      </c>
      <c r="AF16" s="59" t="s">
        <v>355</v>
      </c>
      <c r="AH16" s="38">
        <f t="shared" si="17"/>
        <v>0.60325000000000006</v>
      </c>
      <c r="AI16" s="39">
        <f t="shared" si="18"/>
        <v>1.183333333333334E-2</v>
      </c>
      <c r="AJ16" s="39">
        <f t="shared" si="34"/>
        <v>0.79771493678097305</v>
      </c>
      <c r="AK16" s="40" t="str">
        <f t="shared" si="19"/>
        <v/>
      </c>
      <c r="AL16" s="40">
        <f t="shared" si="20"/>
        <v>-9.941666666666682E-2</v>
      </c>
      <c r="AM16" s="40" t="str">
        <f t="shared" si="21"/>
        <v/>
      </c>
      <c r="AN16" s="40" t="str">
        <f t="shared" si="22"/>
        <v/>
      </c>
      <c r="AO16" s="40">
        <f t="shared" si="23"/>
        <v>-8.9916666666666714E-2</v>
      </c>
      <c r="AP16" s="40" t="str">
        <f t="shared" si="24"/>
        <v/>
      </c>
      <c r="AQ16" s="40" t="str">
        <f t="shared" si="25"/>
        <v/>
      </c>
      <c r="AR16" s="40">
        <f t="shared" si="26"/>
        <v>8.7583333333333319E-2</v>
      </c>
      <c r="AS16" s="40" t="str">
        <f t="shared" si="27"/>
        <v/>
      </c>
      <c r="AT16" s="40" t="str">
        <f t="shared" si="28"/>
        <v/>
      </c>
      <c r="AU16" s="40">
        <f t="shared" si="29"/>
        <v>7.808333333333331E-2</v>
      </c>
      <c r="AV16" s="40" t="str">
        <f t="shared" si="30"/>
        <v/>
      </c>
      <c r="AW16" s="40" t="str">
        <f t="shared" si="31"/>
        <v/>
      </c>
      <c r="AX16" s="41" t="s">
        <v>166</v>
      </c>
      <c r="AY16" s="42">
        <f>_xlfn.STDEV.S(AK16:AW19,AK21:AW22)</f>
        <v>0.13165081469002388</v>
      </c>
      <c r="AZ16" s="34">
        <v>13</v>
      </c>
      <c r="BA16" s="34">
        <v>2</v>
      </c>
      <c r="BB16" s="34" t="str">
        <f t="shared" si="35"/>
        <v>Berekening met concentratie nutriënten gelijk aan norm</v>
      </c>
      <c r="BC16" s="34">
        <f t="shared" si="36"/>
        <v>0.57999999999999996</v>
      </c>
    </row>
    <row r="17" spans="1:55" s="36" customFormat="1" ht="57.6" x14ac:dyDescent="0.3">
      <c r="A17" s="53">
        <v>14</v>
      </c>
      <c r="B17" s="53" t="str">
        <f>WLs!C17</f>
        <v>Harderbroek (oude deel)</v>
      </c>
      <c r="C17" s="35">
        <v>0.29899999999999999</v>
      </c>
      <c r="D17" s="35"/>
      <c r="E17" s="35"/>
      <c r="F17" s="35">
        <v>0.06</v>
      </c>
      <c r="G17" s="35"/>
      <c r="H17" s="35"/>
      <c r="I17" s="35">
        <v>8.6999999999999994E-2</v>
      </c>
      <c r="J17" s="35"/>
      <c r="K17" s="35"/>
      <c r="L17" s="35">
        <v>0.26400000000000001</v>
      </c>
      <c r="M17" s="35"/>
      <c r="N17" s="35"/>
      <c r="O17" s="35">
        <v>7.9000000000000001E-2</v>
      </c>
      <c r="P17" s="54">
        <v>0.121</v>
      </c>
      <c r="Q17" s="59" t="s">
        <v>356</v>
      </c>
      <c r="R17" s="54"/>
      <c r="S17" s="54"/>
      <c r="T17" s="54">
        <f>VLOOKUP(A17,WLs!$A$4:$J$23,8,FALSE)</f>
        <v>0.5</v>
      </c>
      <c r="U17" s="55">
        <v>7.3499999999999996E-2</v>
      </c>
      <c r="V17" s="55">
        <v>-4.7500000000000001E-2</v>
      </c>
      <c r="W17" s="56" t="s">
        <v>357</v>
      </c>
      <c r="X17" s="55">
        <v>0.45</v>
      </c>
      <c r="Y17" s="54">
        <v>0.24</v>
      </c>
      <c r="Z17" s="54">
        <v>0.24</v>
      </c>
      <c r="AA17" s="74">
        <v>0.43</v>
      </c>
      <c r="AB17" s="55" t="s">
        <v>314</v>
      </c>
      <c r="AC17" s="55" t="s">
        <v>314</v>
      </c>
      <c r="AD17" s="55" t="s">
        <v>314</v>
      </c>
      <c r="AE17" s="54">
        <v>0.5</v>
      </c>
      <c r="AF17" s="59" t="s">
        <v>313</v>
      </c>
      <c r="AH17" s="38">
        <f t="shared" si="17"/>
        <v>0.1578</v>
      </c>
      <c r="AI17" s="39"/>
      <c r="AJ17" s="39">
        <f t="shared" si="34"/>
        <v>0.10710192528094642</v>
      </c>
      <c r="AK17" s="40">
        <f t="shared" si="19"/>
        <v>0.14119999999999999</v>
      </c>
      <c r="AL17" s="40" t="str">
        <f t="shared" si="20"/>
        <v/>
      </c>
      <c r="AM17" s="40" t="str">
        <f t="shared" si="21"/>
        <v/>
      </c>
      <c r="AN17" s="40">
        <f t="shared" si="22"/>
        <v>-9.7799999999999998E-2</v>
      </c>
      <c r="AO17" s="40" t="str">
        <f t="shared" si="23"/>
        <v/>
      </c>
      <c r="AP17" s="40" t="str">
        <f t="shared" si="24"/>
        <v/>
      </c>
      <c r="AQ17" s="40">
        <f t="shared" si="25"/>
        <v>-7.0800000000000002E-2</v>
      </c>
      <c r="AR17" s="40" t="str">
        <f t="shared" si="26"/>
        <v/>
      </c>
      <c r="AS17" s="40" t="str">
        <f t="shared" si="27"/>
        <v/>
      </c>
      <c r="AT17" s="40">
        <f t="shared" si="28"/>
        <v>0.10620000000000002</v>
      </c>
      <c r="AU17" s="40" t="str">
        <f t="shared" si="29"/>
        <v/>
      </c>
      <c r="AV17" s="40" t="str">
        <f t="shared" si="30"/>
        <v/>
      </c>
      <c r="AW17" s="40">
        <f t="shared" si="31"/>
        <v>-7.8799999999999995E-2</v>
      </c>
      <c r="AX17" s="45" t="s">
        <v>166</v>
      </c>
      <c r="AY17" s="44">
        <f>AY16</f>
        <v>0.13165081469002388</v>
      </c>
      <c r="AZ17" s="34">
        <v>14</v>
      </c>
      <c r="BA17" s="34">
        <v>2</v>
      </c>
      <c r="BB17" s="34" t="str">
        <f t="shared" si="35"/>
        <v>Berekening met concentratie nutriënten gelijk aan norm</v>
      </c>
      <c r="BC17" s="34">
        <f t="shared" si="36"/>
        <v>0.43</v>
      </c>
    </row>
    <row r="18" spans="1:55" s="36" customFormat="1" ht="87" customHeight="1" x14ac:dyDescent="0.3">
      <c r="A18" s="53">
        <v>15</v>
      </c>
      <c r="B18" s="53" t="str">
        <f>WLs!C18</f>
        <v>Harderbroek Roerdomp</v>
      </c>
      <c r="C18" s="35">
        <v>0.56799999999999995</v>
      </c>
      <c r="D18" s="35"/>
      <c r="E18" s="35"/>
      <c r="F18" s="35">
        <v>0.46</v>
      </c>
      <c r="G18" s="35"/>
      <c r="H18" s="35"/>
      <c r="I18" s="35">
        <v>0.315</v>
      </c>
      <c r="J18" s="35"/>
      <c r="K18" s="35"/>
      <c r="L18" s="35">
        <v>0.30399999999999999</v>
      </c>
      <c r="M18" s="35"/>
      <c r="N18" s="35"/>
      <c r="O18" s="35">
        <v>0.27800000000000002</v>
      </c>
      <c r="P18" s="54">
        <v>0.45</v>
      </c>
      <c r="Q18" s="59" t="s">
        <v>305</v>
      </c>
      <c r="R18" s="54">
        <v>0.45</v>
      </c>
      <c r="S18" s="54">
        <v>-0.05</v>
      </c>
      <c r="T18" s="54">
        <f>VLOOKUP(A18,WLs!$A$4:$J$23,8,FALSE)</f>
        <v>0.4</v>
      </c>
      <c r="U18" s="55">
        <v>0.38750000000000001</v>
      </c>
      <c r="V18" s="55">
        <v>-6.25E-2</v>
      </c>
      <c r="W18" s="56" t="s">
        <v>305</v>
      </c>
      <c r="X18" s="55">
        <v>0.39</v>
      </c>
      <c r="Y18" s="54">
        <v>0.38</v>
      </c>
      <c r="Z18" s="54">
        <v>0.35</v>
      </c>
      <c r="AA18" s="74">
        <v>0.32</v>
      </c>
      <c r="AB18" s="55">
        <v>0.29099999999999998</v>
      </c>
      <c r="AC18" s="55">
        <f t="shared" si="32"/>
        <v>-2.4533333333333331E-2</v>
      </c>
      <c r="AD18" s="61">
        <f>AJ18</f>
        <v>0.96501891928484396</v>
      </c>
      <c r="AE18" s="54">
        <v>0.4</v>
      </c>
      <c r="AF18" s="59" t="s">
        <v>358</v>
      </c>
      <c r="AH18" s="38">
        <f t="shared" si="17"/>
        <v>0.38500000000000001</v>
      </c>
      <c r="AI18" s="39">
        <f>SLOPE(C18:O18,C$3:O$3)</f>
        <v>-2.4533333333333331E-2</v>
      </c>
      <c r="AJ18" s="39">
        <f t="shared" si="34"/>
        <v>0.96501891928484396</v>
      </c>
      <c r="AK18" s="40">
        <f t="shared" si="19"/>
        <v>0.33019999999999994</v>
      </c>
      <c r="AL18" s="40" t="str">
        <f t="shared" si="20"/>
        <v/>
      </c>
      <c r="AM18" s="40" t="str">
        <f t="shared" si="21"/>
        <v/>
      </c>
      <c r="AN18" s="40">
        <f t="shared" si="22"/>
        <v>0.14860000000000001</v>
      </c>
      <c r="AO18" s="40" t="str">
        <f t="shared" si="23"/>
        <v/>
      </c>
      <c r="AP18" s="40" t="str">
        <f t="shared" si="24"/>
        <v/>
      </c>
      <c r="AQ18" s="40">
        <f t="shared" si="25"/>
        <v>-7.0000000000000007E-2</v>
      </c>
      <c r="AR18" s="40" t="str">
        <f t="shared" si="26"/>
        <v/>
      </c>
      <c r="AS18" s="40" t="str">
        <f t="shared" si="27"/>
        <v/>
      </c>
      <c r="AT18" s="40">
        <f t="shared" si="28"/>
        <v>-0.15460000000000002</v>
      </c>
      <c r="AU18" s="40" t="str">
        <f t="shared" si="29"/>
        <v/>
      </c>
      <c r="AV18" s="40" t="str">
        <f t="shared" si="30"/>
        <v/>
      </c>
      <c r="AW18" s="40">
        <f t="shared" si="31"/>
        <v>-0.25419999999999998</v>
      </c>
      <c r="AX18" s="45" t="s">
        <v>166</v>
      </c>
      <c r="AY18" s="44">
        <f t="shared" ref="AY18:AY19" si="39">AY17</f>
        <v>0.13165081469002388</v>
      </c>
      <c r="AZ18" s="34">
        <v>15</v>
      </c>
      <c r="BA18" s="34">
        <v>2</v>
      </c>
      <c r="BB18" s="34" t="str">
        <f t="shared" si="35"/>
        <v>Berekening met concentratie nutriënten gelijk aan norm</v>
      </c>
      <c r="BC18" s="34">
        <f t="shared" si="36"/>
        <v>0.32</v>
      </c>
    </row>
    <row r="19" spans="1:55" s="36" customFormat="1" ht="57.6" x14ac:dyDescent="0.3">
      <c r="A19" s="53">
        <v>16</v>
      </c>
      <c r="B19" s="53" t="str">
        <f>WLs!C19</f>
        <v>Lepelaarplassen</v>
      </c>
      <c r="C19" s="35"/>
      <c r="D19" s="35"/>
      <c r="E19" s="35">
        <v>0.53200000000000003</v>
      </c>
      <c r="F19" s="35"/>
      <c r="G19" s="35"/>
      <c r="H19" s="35">
        <v>0.53800000000000003</v>
      </c>
      <c r="I19" s="35"/>
      <c r="J19" s="35">
        <v>0.52066666666666672</v>
      </c>
      <c r="K19" s="35"/>
      <c r="L19" s="35"/>
      <c r="M19" s="35"/>
      <c r="N19" s="35">
        <v>0.44600000000000001</v>
      </c>
      <c r="O19" s="35"/>
      <c r="P19" s="81" t="s">
        <v>359</v>
      </c>
      <c r="Q19" s="59" t="s">
        <v>305</v>
      </c>
      <c r="R19" s="54">
        <v>0.55000000000000004</v>
      </c>
      <c r="S19" s="54">
        <v>-0.05</v>
      </c>
      <c r="T19" s="54">
        <f>VLOOKUP(A19,WLs!$A$4:$J$23,8,FALSE)</f>
        <v>0.5</v>
      </c>
      <c r="U19" s="55">
        <v>0.52</v>
      </c>
      <c r="V19" s="55">
        <v>-3.0000000000000027E-2</v>
      </c>
      <c r="W19" s="56" t="s">
        <v>305</v>
      </c>
      <c r="X19" s="55">
        <v>0.52</v>
      </c>
      <c r="Y19" s="54">
        <v>0.55000000000000004</v>
      </c>
      <c r="Z19" s="74">
        <v>0.6</v>
      </c>
      <c r="AA19" s="54">
        <v>0.46</v>
      </c>
      <c r="AB19" s="55">
        <v>0.48299999999999998</v>
      </c>
      <c r="AC19" s="55">
        <f t="shared" si="32"/>
        <v>0</v>
      </c>
      <c r="AD19" s="61">
        <f t="shared" si="33"/>
        <v>0.76990146599375142</v>
      </c>
      <c r="AE19" s="54">
        <v>0.5</v>
      </c>
      <c r="AF19" s="59" t="s">
        <v>318</v>
      </c>
      <c r="AH19" s="38">
        <f t="shared" si="17"/>
        <v>0.50916666666666677</v>
      </c>
      <c r="AI19" s="39"/>
      <c r="AJ19" s="39">
        <f t="shared" si="34"/>
        <v>0.76990146599375142</v>
      </c>
      <c r="AK19" s="40" t="str">
        <f t="shared" si="19"/>
        <v/>
      </c>
      <c r="AL19" s="40" t="str">
        <f t="shared" si="20"/>
        <v/>
      </c>
      <c r="AM19" s="40">
        <f t="shared" si="21"/>
        <v>2.2833333333333261E-2</v>
      </c>
      <c r="AN19" s="40" t="str">
        <f t="shared" si="22"/>
        <v/>
      </c>
      <c r="AO19" s="40" t="str">
        <f t="shared" si="23"/>
        <v/>
      </c>
      <c r="AP19" s="40">
        <f t="shared" si="24"/>
        <v>2.8833333333333266E-2</v>
      </c>
      <c r="AQ19" s="40" t="str">
        <f t="shared" si="25"/>
        <v/>
      </c>
      <c r="AR19" s="40">
        <f t="shared" si="26"/>
        <v>1.1499999999999955E-2</v>
      </c>
      <c r="AS19" s="40" t="str">
        <f t="shared" si="27"/>
        <v/>
      </c>
      <c r="AT19" s="40" t="str">
        <f t="shared" si="28"/>
        <v/>
      </c>
      <c r="AU19" s="40" t="str">
        <f t="shared" si="29"/>
        <v/>
      </c>
      <c r="AV19" s="40">
        <f t="shared" si="30"/>
        <v>-6.316666666666676E-2</v>
      </c>
      <c r="AW19" s="40" t="str">
        <f t="shared" si="31"/>
        <v/>
      </c>
      <c r="AX19" s="45" t="s">
        <v>166</v>
      </c>
      <c r="AY19" s="44">
        <f t="shared" si="39"/>
        <v>0.13165081469002388</v>
      </c>
      <c r="AZ19" s="34">
        <v>16</v>
      </c>
      <c r="BA19" s="34">
        <v>1</v>
      </c>
      <c r="BB19" s="34" t="str">
        <f t="shared" si="35"/>
        <v>Landelijke tussenevaluatie</v>
      </c>
      <c r="BC19" s="34">
        <f t="shared" si="36"/>
        <v>0.6</v>
      </c>
    </row>
    <row r="20" spans="1:55" s="36" customFormat="1" ht="80.55" customHeight="1" x14ac:dyDescent="0.3">
      <c r="A20" s="53">
        <v>17</v>
      </c>
      <c r="B20" s="53" t="str">
        <f>WLs!C20</f>
        <v>Noorderplassen</v>
      </c>
      <c r="C20" s="35"/>
      <c r="D20" s="35"/>
      <c r="E20" s="35">
        <v>0.54100000000000004</v>
      </c>
      <c r="F20" s="35"/>
      <c r="G20" s="35"/>
      <c r="H20" s="35">
        <v>0.38300000000000001</v>
      </c>
      <c r="I20" s="35"/>
      <c r="J20" s="35"/>
      <c r="K20" s="35">
        <v>0.40699999999999997</v>
      </c>
      <c r="L20" s="35"/>
      <c r="M20" s="35"/>
      <c r="N20" s="35">
        <v>0.48399999999999999</v>
      </c>
      <c r="O20" s="35"/>
      <c r="P20" s="54">
        <v>0.56400000000000006</v>
      </c>
      <c r="Q20" s="54" t="s">
        <v>360</v>
      </c>
      <c r="R20" s="54"/>
      <c r="S20" s="54"/>
      <c r="T20" s="54">
        <f>VLOOKUP(A20,WLs!$A$4:$J$23,8,FALSE)</f>
        <v>0.6</v>
      </c>
      <c r="U20" s="55">
        <v>0.46200000000000002</v>
      </c>
      <c r="V20" s="55">
        <v>-0.10200000000000004</v>
      </c>
      <c r="W20" s="56" t="s">
        <v>361</v>
      </c>
      <c r="X20" s="55">
        <v>0.51</v>
      </c>
      <c r="Y20" s="54">
        <v>0.43</v>
      </c>
      <c r="Z20" s="74">
        <v>0.49</v>
      </c>
      <c r="AA20" s="54">
        <v>0.42</v>
      </c>
      <c r="AB20" s="55">
        <v>0.44550000000000001</v>
      </c>
      <c r="AC20" s="55">
        <f t="shared" si="32"/>
        <v>-4.9000000000000068E-3</v>
      </c>
      <c r="AD20" s="61">
        <f t="shared" si="33"/>
        <v>0.22794183574981189</v>
      </c>
      <c r="AE20" s="54">
        <v>0.48</v>
      </c>
      <c r="AF20" s="59" t="s">
        <v>362</v>
      </c>
      <c r="AH20" s="38">
        <f t="shared" si="17"/>
        <v>0.45374999999999999</v>
      </c>
      <c r="AI20" s="39">
        <f>SLOPE(C20:O20,C$3:O$3)</f>
        <v>-4.9000000000000068E-3</v>
      </c>
      <c r="AJ20" s="39">
        <f t="shared" si="34"/>
        <v>0.22794183574981189</v>
      </c>
      <c r="AK20" s="40" t="str">
        <f t="shared" si="19"/>
        <v/>
      </c>
      <c r="AL20" s="40" t="str">
        <f t="shared" si="20"/>
        <v/>
      </c>
      <c r="AM20" s="40">
        <f t="shared" si="21"/>
        <v>0.10685000000000008</v>
      </c>
      <c r="AN20" s="40" t="str">
        <f t="shared" si="22"/>
        <v/>
      </c>
      <c r="AO20" s="40" t="str">
        <f t="shared" si="23"/>
        <v/>
      </c>
      <c r="AP20" s="40">
        <f t="shared" si="24"/>
        <v>-6.5849999999999978E-2</v>
      </c>
      <c r="AQ20" s="40" t="str">
        <f t="shared" si="25"/>
        <v/>
      </c>
      <c r="AR20" s="40" t="str">
        <f t="shared" si="26"/>
        <v/>
      </c>
      <c r="AS20" s="40">
        <f t="shared" si="27"/>
        <v>-5.6550000000000031E-2</v>
      </c>
      <c r="AT20" s="40" t="str">
        <f t="shared" si="28"/>
        <v/>
      </c>
      <c r="AU20" s="40" t="str">
        <f t="shared" si="29"/>
        <v/>
      </c>
      <c r="AV20" s="40">
        <f t="shared" si="30"/>
        <v>5.7499999999999635E-3</v>
      </c>
      <c r="AW20" s="40" t="str">
        <f t="shared" si="31"/>
        <v/>
      </c>
      <c r="AX20" s="41" t="s">
        <v>167</v>
      </c>
      <c r="AY20" s="42">
        <f>_xlfn.STDEV.S(AK20:AW20,AK23:AW23)</f>
        <v>9.8322588597795912E-2</v>
      </c>
      <c r="AZ20" s="34">
        <v>17</v>
      </c>
      <c r="BA20" s="34">
        <v>1</v>
      </c>
      <c r="BB20" s="34" t="str">
        <f t="shared" si="35"/>
        <v>Landelijke tussenevaluatie</v>
      </c>
      <c r="BC20" s="34">
        <f t="shared" si="36"/>
        <v>0.49</v>
      </c>
    </row>
    <row r="21" spans="1:55" s="36" customFormat="1" ht="100.8" x14ac:dyDescent="0.3">
      <c r="A21" s="53">
        <v>18</v>
      </c>
      <c r="B21" s="53" t="str">
        <f>WLs!C21</f>
        <v>Oostvaardersplassen</v>
      </c>
      <c r="C21" s="35">
        <v>0.2165</v>
      </c>
      <c r="D21" s="35"/>
      <c r="E21" s="35"/>
      <c r="F21" s="35">
        <v>6.8000000000000005E-2</v>
      </c>
      <c r="G21" s="35"/>
      <c r="H21" s="35"/>
      <c r="I21" s="35">
        <v>8.3000000000000004E-2</v>
      </c>
      <c r="J21" s="35"/>
      <c r="K21" s="35"/>
      <c r="L21" s="35">
        <v>0.33850000000000002</v>
      </c>
      <c r="M21" s="35"/>
      <c r="N21" s="35"/>
      <c r="O21" s="35">
        <v>9.4500000000000001E-2</v>
      </c>
      <c r="P21" s="81" t="s">
        <v>363</v>
      </c>
      <c r="Q21" s="59" t="s">
        <v>305</v>
      </c>
      <c r="R21" s="54">
        <v>0.11</v>
      </c>
      <c r="S21" s="54">
        <v>-0.01</v>
      </c>
      <c r="T21" s="54">
        <f>VLOOKUP(A21,WLs!$A$4:$J$23,8,FALSE)</f>
        <v>0.1</v>
      </c>
      <c r="U21" s="55">
        <v>7.5499999999999998E-2</v>
      </c>
      <c r="V21" s="55">
        <v>-3.7500000000000006E-2</v>
      </c>
      <c r="W21" s="56" t="s">
        <v>320</v>
      </c>
      <c r="X21" s="55">
        <v>0.08</v>
      </c>
      <c r="Y21" s="54">
        <v>0.26</v>
      </c>
      <c r="Z21" s="74">
        <v>0.25</v>
      </c>
      <c r="AA21" s="54">
        <v>0.27</v>
      </c>
      <c r="AB21" s="55">
        <v>0.217</v>
      </c>
      <c r="AC21" s="55">
        <f t="shared" si="32"/>
        <v>0</v>
      </c>
      <c r="AD21" s="61">
        <f t="shared" si="33"/>
        <v>1.3068106748148885E-3</v>
      </c>
      <c r="AE21" s="54">
        <v>0.1</v>
      </c>
      <c r="AF21" s="59" t="s">
        <v>321</v>
      </c>
      <c r="AH21" s="38">
        <f t="shared" si="17"/>
        <v>0.16009999999999999</v>
      </c>
      <c r="AI21" s="39"/>
      <c r="AJ21" s="39">
        <f t="shared" si="34"/>
        <v>1.3068106748148885E-3</v>
      </c>
      <c r="AK21" s="40">
        <f t="shared" si="19"/>
        <v>5.6400000000000006E-2</v>
      </c>
      <c r="AL21" s="40" t="str">
        <f t="shared" si="20"/>
        <v/>
      </c>
      <c r="AM21" s="40" t="str">
        <f t="shared" si="21"/>
        <v/>
      </c>
      <c r="AN21" s="40">
        <f t="shared" si="22"/>
        <v>-9.2099999999999987E-2</v>
      </c>
      <c r="AO21" s="40" t="str">
        <f t="shared" si="23"/>
        <v/>
      </c>
      <c r="AP21" s="40" t="str">
        <f t="shared" si="24"/>
        <v/>
      </c>
      <c r="AQ21" s="40">
        <f t="shared" si="25"/>
        <v>-7.7099999999999988E-2</v>
      </c>
      <c r="AR21" s="40" t="str">
        <f t="shared" si="26"/>
        <v/>
      </c>
      <c r="AS21" s="40" t="str">
        <f t="shared" si="27"/>
        <v/>
      </c>
      <c r="AT21" s="40">
        <f t="shared" si="28"/>
        <v>0.17840000000000003</v>
      </c>
      <c r="AU21" s="40" t="str">
        <f t="shared" si="29"/>
        <v/>
      </c>
      <c r="AV21" s="40" t="str">
        <f t="shared" si="30"/>
        <v/>
      </c>
      <c r="AW21" s="40">
        <f t="shared" si="31"/>
        <v>-6.5599999999999992E-2</v>
      </c>
      <c r="AX21" s="45" t="s">
        <v>166</v>
      </c>
      <c r="AY21" s="44">
        <f>AY19</f>
        <v>0.13165081469002388</v>
      </c>
      <c r="AZ21" s="34">
        <v>18</v>
      </c>
      <c r="BA21" s="34">
        <v>1</v>
      </c>
      <c r="BB21" s="34" t="str">
        <f t="shared" si="35"/>
        <v>Landelijke tussenevaluatie</v>
      </c>
      <c r="BC21" s="34">
        <f t="shared" si="36"/>
        <v>0.25</v>
      </c>
    </row>
    <row r="22" spans="1:55" s="36" customFormat="1" ht="86.4" x14ac:dyDescent="0.3">
      <c r="A22" s="53">
        <v>19</v>
      </c>
      <c r="B22" s="53" t="str">
        <f>WLs!C22</f>
        <v>Vollenhover- en Kadoelermeer</v>
      </c>
      <c r="C22" s="35"/>
      <c r="D22" s="35">
        <v>0.57599999999999996</v>
      </c>
      <c r="E22" s="35"/>
      <c r="F22" s="35"/>
      <c r="G22" s="35">
        <v>0.73849999999999993</v>
      </c>
      <c r="H22" s="35"/>
      <c r="I22" s="35"/>
      <c r="J22" s="35">
        <v>0.5665</v>
      </c>
      <c r="K22" s="35"/>
      <c r="L22" s="35"/>
      <c r="M22" s="35">
        <v>0.80600000000000005</v>
      </c>
      <c r="N22" s="35"/>
      <c r="O22" s="35"/>
      <c r="P22" s="54">
        <v>0.72375000000000012</v>
      </c>
      <c r="Q22" s="59" t="s">
        <v>305</v>
      </c>
      <c r="R22" s="54"/>
      <c r="S22" s="54"/>
      <c r="T22" s="54">
        <f>VLOOKUP(A22,WLs!$A$4:$J$23,8,FALSE)</f>
        <v>0.6</v>
      </c>
      <c r="U22" s="55">
        <v>0.65700000000000003</v>
      </c>
      <c r="V22" s="55">
        <v>-6.6750000000000087E-2</v>
      </c>
      <c r="W22" s="56" t="s">
        <v>364</v>
      </c>
      <c r="X22" s="55">
        <v>0.71</v>
      </c>
      <c r="Y22" s="54">
        <v>0.75</v>
      </c>
      <c r="Z22" s="54">
        <v>0.71</v>
      </c>
      <c r="AA22" s="74">
        <v>0.65</v>
      </c>
      <c r="AB22" s="55">
        <v>0.6865</v>
      </c>
      <c r="AC22" s="55">
        <f t="shared" si="32"/>
        <v>1.726666666666668E-2</v>
      </c>
      <c r="AD22" s="61">
        <f t="shared" si="33"/>
        <v>0.64677542111666664</v>
      </c>
      <c r="AE22" s="54">
        <v>0.6</v>
      </c>
      <c r="AF22" s="59" t="s">
        <v>365</v>
      </c>
      <c r="AH22" s="38">
        <f t="shared" si="17"/>
        <v>0.67174999999999996</v>
      </c>
      <c r="AI22" s="39">
        <f>SLOPE(C22:O22,C$3:O$3)</f>
        <v>1.726666666666668E-2</v>
      </c>
      <c r="AJ22" s="39">
        <f t="shared" si="34"/>
        <v>0.64677542111666664</v>
      </c>
      <c r="AK22" s="40" t="str">
        <f t="shared" si="19"/>
        <v/>
      </c>
      <c r="AL22" s="40">
        <f t="shared" si="20"/>
        <v>-0.1820833333333334</v>
      </c>
      <c r="AM22" s="40" t="str">
        <f t="shared" si="21"/>
        <v/>
      </c>
      <c r="AN22" s="40" t="str">
        <f t="shared" si="22"/>
        <v/>
      </c>
      <c r="AO22" s="40">
        <f t="shared" si="23"/>
        <v>3.2216666666666616E-2</v>
      </c>
      <c r="AP22" s="40" t="str">
        <f t="shared" si="24"/>
        <v/>
      </c>
      <c r="AQ22" s="40" t="str">
        <f t="shared" si="25"/>
        <v/>
      </c>
      <c r="AR22" s="40">
        <f t="shared" si="26"/>
        <v>-8.7983333333333275E-2</v>
      </c>
      <c r="AS22" s="40" t="str">
        <f t="shared" si="27"/>
        <v/>
      </c>
      <c r="AT22" s="40" t="str">
        <f t="shared" si="28"/>
        <v/>
      </c>
      <c r="AU22" s="40">
        <f t="shared" si="29"/>
        <v>0.20331666666666681</v>
      </c>
      <c r="AV22" s="40" t="str">
        <f t="shared" si="30"/>
        <v/>
      </c>
      <c r="AW22" s="40" t="str">
        <f t="shared" si="31"/>
        <v/>
      </c>
      <c r="AX22" s="45" t="s">
        <v>166</v>
      </c>
      <c r="AY22" s="44">
        <f>AY21</f>
        <v>0.13165081469002388</v>
      </c>
      <c r="AZ22" s="34">
        <v>19</v>
      </c>
      <c r="BA22" s="34">
        <v>2</v>
      </c>
      <c r="BB22" s="34" t="str">
        <f t="shared" si="35"/>
        <v>Berekening met concentratie nutriënten gelijk aan norm</v>
      </c>
      <c r="BC22" s="34">
        <f t="shared" si="36"/>
        <v>0.65</v>
      </c>
    </row>
    <row r="23" spans="1:55" s="36" customFormat="1" ht="72" x14ac:dyDescent="0.3">
      <c r="A23" s="53">
        <v>20</v>
      </c>
      <c r="B23" s="53" t="str">
        <f>WLs!C23</f>
        <v>Weerwater</v>
      </c>
      <c r="C23" s="35"/>
      <c r="D23" s="35"/>
      <c r="E23" s="35">
        <v>0.57999999999999996</v>
      </c>
      <c r="F23" s="35"/>
      <c r="G23" s="35"/>
      <c r="H23" s="35">
        <v>0.45300000000000001</v>
      </c>
      <c r="I23" s="35"/>
      <c r="J23" s="35"/>
      <c r="K23" s="35">
        <v>0.432</v>
      </c>
      <c r="L23" s="35"/>
      <c r="M23" s="35"/>
      <c r="N23" s="35">
        <v>0.43</v>
      </c>
      <c r="O23" s="35"/>
      <c r="P23" s="54">
        <v>0.59799999999999998</v>
      </c>
      <c r="Q23" s="54" t="s">
        <v>360</v>
      </c>
      <c r="R23" s="54"/>
      <c r="S23" s="54"/>
      <c r="T23" s="54">
        <f>VLOOKUP(A23,WLs!$A$4:$J$23,8,FALSE)</f>
        <v>0.6</v>
      </c>
      <c r="U23" s="55">
        <v>0.51649999999999996</v>
      </c>
      <c r="V23" s="55">
        <v>-8.1500000000000017E-2</v>
      </c>
      <c r="W23" s="56" t="s">
        <v>361</v>
      </c>
      <c r="X23" s="55">
        <v>0.57000000000000006</v>
      </c>
      <c r="Y23" s="54">
        <v>0.48</v>
      </c>
      <c r="Z23" s="74">
        <v>0.55000000000000004</v>
      </c>
      <c r="AA23" s="54">
        <v>0.49</v>
      </c>
      <c r="AB23" s="55">
        <v>0.43099999999999999</v>
      </c>
      <c r="AC23" s="55">
        <f t="shared" si="32"/>
        <v>-1.5699999999999995E-2</v>
      </c>
      <c r="AD23" s="61">
        <f t="shared" si="33"/>
        <v>0.91193330716154619</v>
      </c>
      <c r="AE23" s="54">
        <v>0.54</v>
      </c>
      <c r="AF23" s="59" t="s">
        <v>366</v>
      </c>
      <c r="AH23" s="38">
        <f t="shared" si="17"/>
        <v>0.47374999999999995</v>
      </c>
      <c r="AI23" s="39">
        <f>SLOPE(C23:O23,C$3:O$3)</f>
        <v>-1.5699999999999995E-2</v>
      </c>
      <c r="AJ23" s="39">
        <f t="shared" si="34"/>
        <v>0.91193330716154619</v>
      </c>
      <c r="AK23" s="40" t="str">
        <f t="shared" si="19"/>
        <v/>
      </c>
      <c r="AL23" s="40" t="str">
        <f t="shared" si="20"/>
        <v/>
      </c>
      <c r="AM23" s="40">
        <f t="shared" si="21"/>
        <v>0.16904999999999998</v>
      </c>
      <c r="AN23" s="40" t="str">
        <f t="shared" si="22"/>
        <v/>
      </c>
      <c r="AO23" s="40" t="str">
        <f t="shared" si="23"/>
        <v/>
      </c>
      <c r="AP23" s="40">
        <f t="shared" si="24"/>
        <v>-5.04999999999994E-3</v>
      </c>
      <c r="AQ23" s="40" t="str">
        <f t="shared" si="25"/>
        <v/>
      </c>
      <c r="AR23" s="40" t="str">
        <f t="shared" si="26"/>
        <v/>
      </c>
      <c r="AS23" s="40">
        <f t="shared" si="27"/>
        <v>-7.3149999999999937E-2</v>
      </c>
      <c r="AT23" s="40" t="str">
        <f t="shared" si="28"/>
        <v/>
      </c>
      <c r="AU23" s="40" t="str">
        <f t="shared" si="29"/>
        <v/>
      </c>
      <c r="AV23" s="40">
        <f t="shared" si="30"/>
        <v>-0.12224999999999993</v>
      </c>
      <c r="AW23" s="40" t="str">
        <f t="shared" si="31"/>
        <v/>
      </c>
      <c r="AX23" s="45" t="s">
        <v>167</v>
      </c>
      <c r="AY23" s="44">
        <f>AY20</f>
        <v>9.8322588597795912E-2</v>
      </c>
      <c r="AZ23" s="34">
        <v>20</v>
      </c>
      <c r="BA23" s="34">
        <v>1</v>
      </c>
      <c r="BB23" s="34" t="str">
        <f t="shared" si="35"/>
        <v>Landelijke tussenevaluatie</v>
      </c>
      <c r="BC23" s="34">
        <f t="shared" si="36"/>
        <v>0.55000000000000004</v>
      </c>
    </row>
  </sheetData>
  <mergeCells count="8">
    <mergeCell ref="AB2:AD2"/>
    <mergeCell ref="AE2:AF2"/>
    <mergeCell ref="Y2:AA2"/>
    <mergeCell ref="A2:A3"/>
    <mergeCell ref="B2:B3"/>
    <mergeCell ref="C2:O2"/>
    <mergeCell ref="P2:T2"/>
    <mergeCell ref="U2:X2"/>
  </mergeCells>
  <conditionalFormatting sqref="AI4:AI23">
    <cfRule type="cellIs" dxfId="44" priority="5" operator="greaterThan">
      <formula>0.01</formula>
    </cfRule>
    <cfRule type="cellIs" dxfId="43" priority="6" operator="lessThan">
      <formula>-0.01</formula>
    </cfRule>
  </conditionalFormatting>
  <conditionalFormatting sqref="AJ4:AJ23">
    <cfRule type="cellIs" dxfId="42" priority="4" operator="greaterThan">
      <formula>0.8</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B4662-7AA2-4E33-9468-D0BCB8E5641B}">
  <dimension ref="A1:BC23"/>
  <sheetViews>
    <sheetView zoomScaleNormal="100" workbookViewId="0">
      <pane xSplit="2" ySplit="3" topLeftCell="P4" activePane="bottomRight" state="frozen"/>
      <selection pane="topRight" activeCell="B1" sqref="B1"/>
      <selection pane="bottomLeft" activeCell="B1" sqref="B1"/>
      <selection pane="bottomRight" activeCell="P4" sqref="P4"/>
    </sheetView>
  </sheetViews>
  <sheetFormatPr defaultRowHeight="14.4" x14ac:dyDescent="0.3"/>
  <cols>
    <col min="1" max="1" width="4.5546875" customWidth="1"/>
    <col min="2" max="2" width="27" style="22" customWidth="1"/>
    <col min="3" max="15" width="7.5546875" hidden="1" customWidth="1"/>
    <col min="16" max="16" width="12.44140625" customWidth="1"/>
    <col min="17" max="17" width="15.44140625" customWidth="1"/>
    <col min="18" max="18" width="11.44140625" customWidth="1"/>
    <col min="19" max="19" width="11.21875" customWidth="1"/>
    <col min="20" max="20" width="8.44140625" customWidth="1"/>
    <col min="21" max="21" width="15.21875" customWidth="1"/>
    <col min="22" max="22" width="14.77734375" customWidth="1"/>
    <col min="23" max="23" width="18.21875" style="22" customWidth="1"/>
    <col min="24" max="24" width="12.44140625" customWidth="1"/>
    <col min="25" max="25" width="15" customWidth="1"/>
    <col min="26" max="26" width="10.77734375" customWidth="1"/>
    <col min="27" max="27" width="14.77734375" customWidth="1"/>
    <col min="28" max="28" width="12.5546875" customWidth="1"/>
    <col min="29" max="29" width="10.77734375" customWidth="1"/>
    <col min="30" max="30" width="17.44140625" customWidth="1"/>
    <col min="31" max="31" width="10.5546875" customWidth="1"/>
    <col min="32" max="32" width="70.21875" style="22" customWidth="1"/>
    <col min="33" max="33" width="14.77734375" bestFit="1" customWidth="1"/>
    <col min="34" max="35" width="8.77734375" hidden="1" customWidth="1"/>
    <col min="36" max="36" width="16.21875" hidden="1" customWidth="1"/>
    <col min="37" max="51" width="8.77734375" hidden="1" customWidth="1"/>
    <col min="52" max="52" width="6" hidden="1" customWidth="1"/>
    <col min="53" max="54" width="20.44140625" hidden="1" customWidth="1"/>
    <col min="55" max="55" width="6.44140625" hidden="1" customWidth="1"/>
  </cols>
  <sheetData>
    <row r="1" spans="1:55" ht="21" x14ac:dyDescent="0.4">
      <c r="A1" s="57" t="s">
        <v>60</v>
      </c>
      <c r="C1">
        <v>3</v>
      </c>
      <c r="D1">
        <f>C1+1</f>
        <v>4</v>
      </c>
      <c r="E1">
        <f t="shared" ref="E1:P1" si="0">D1+1</f>
        <v>5</v>
      </c>
      <c r="F1">
        <f t="shared" si="0"/>
        <v>6</v>
      </c>
      <c r="G1">
        <f t="shared" si="0"/>
        <v>7</v>
      </c>
      <c r="H1">
        <f t="shared" si="0"/>
        <v>8</v>
      </c>
      <c r="I1">
        <f t="shared" si="0"/>
        <v>9</v>
      </c>
      <c r="J1">
        <f t="shared" si="0"/>
        <v>10</v>
      </c>
      <c r="K1">
        <f t="shared" si="0"/>
        <v>11</v>
      </c>
      <c r="L1">
        <f t="shared" si="0"/>
        <v>12</v>
      </c>
      <c r="M1">
        <f t="shared" si="0"/>
        <v>13</v>
      </c>
      <c r="N1">
        <f t="shared" si="0"/>
        <v>14</v>
      </c>
      <c r="O1">
        <f t="shared" si="0"/>
        <v>15</v>
      </c>
      <c r="P1">
        <f t="shared" si="0"/>
        <v>16</v>
      </c>
      <c r="Q1">
        <f t="shared" ref="Q1" si="1">P1+1</f>
        <v>17</v>
      </c>
      <c r="R1">
        <f t="shared" ref="R1" si="2">Q1+1</f>
        <v>18</v>
      </c>
      <c r="S1">
        <f t="shared" ref="S1" si="3">R1+1</f>
        <v>19</v>
      </c>
      <c r="T1">
        <f t="shared" ref="T1" si="4">S1+1</f>
        <v>20</v>
      </c>
      <c r="U1">
        <f t="shared" ref="U1" si="5">T1+1</f>
        <v>21</v>
      </c>
      <c r="V1">
        <f t="shared" ref="V1" si="6">U1+1</f>
        <v>22</v>
      </c>
      <c r="W1" s="22">
        <f t="shared" ref="W1" si="7">V1+1</f>
        <v>23</v>
      </c>
      <c r="X1">
        <f t="shared" ref="X1" si="8">W1+1</f>
        <v>24</v>
      </c>
      <c r="Y1">
        <f t="shared" ref="Y1" si="9">X1+1</f>
        <v>25</v>
      </c>
      <c r="Z1">
        <f t="shared" ref="Z1" si="10">Y1+1</f>
        <v>26</v>
      </c>
      <c r="AA1">
        <f t="shared" ref="AA1" si="11">Z1+1</f>
        <v>27</v>
      </c>
      <c r="AB1">
        <f t="shared" ref="AB1" si="12">AA1+1</f>
        <v>28</v>
      </c>
      <c r="AC1">
        <f t="shared" ref="AC1" si="13">AB1+1</f>
        <v>29</v>
      </c>
      <c r="AD1">
        <f t="shared" ref="AD1" si="14">AC1+1</f>
        <v>30</v>
      </c>
      <c r="AE1">
        <f t="shared" ref="AE1" si="15">AD1+1</f>
        <v>31</v>
      </c>
    </row>
    <row r="2" spans="1:55" ht="18" x14ac:dyDescent="0.35">
      <c r="A2" s="227" t="s">
        <v>149</v>
      </c>
      <c r="B2" s="229" t="s">
        <v>150</v>
      </c>
      <c r="C2" s="228" t="s">
        <v>278</v>
      </c>
      <c r="D2" s="228"/>
      <c r="E2" s="228"/>
      <c r="F2" s="228"/>
      <c r="G2" s="228"/>
      <c r="H2" s="228"/>
      <c r="I2" s="228"/>
      <c r="J2" s="228"/>
      <c r="K2" s="228"/>
      <c r="L2" s="228"/>
      <c r="M2" s="228"/>
      <c r="N2" s="228"/>
      <c r="O2" s="228"/>
      <c r="P2" s="226" t="s">
        <v>37</v>
      </c>
      <c r="Q2" s="226"/>
      <c r="R2" s="226"/>
      <c r="S2" s="226"/>
      <c r="T2" s="226"/>
      <c r="U2" s="221" t="s">
        <v>279</v>
      </c>
      <c r="V2" s="222"/>
      <c r="W2" s="222"/>
      <c r="X2" s="223"/>
      <c r="Y2" s="226" t="s">
        <v>280</v>
      </c>
      <c r="Z2" s="226"/>
      <c r="AA2" s="226"/>
      <c r="AB2" s="221" t="s">
        <v>43</v>
      </c>
      <c r="AC2" s="222"/>
      <c r="AD2" s="223"/>
      <c r="AE2" s="224" t="s">
        <v>281</v>
      </c>
      <c r="AF2" s="225"/>
      <c r="AI2" t="s">
        <v>282</v>
      </c>
      <c r="AK2">
        <v>-6</v>
      </c>
      <c r="AL2">
        <f>AK2+1</f>
        <v>-5</v>
      </c>
      <c r="AM2">
        <f t="shared" ref="AM2:AW2" si="16">AL2+1</f>
        <v>-4</v>
      </c>
      <c r="AN2">
        <f t="shared" si="16"/>
        <v>-3</v>
      </c>
      <c r="AO2">
        <f t="shared" si="16"/>
        <v>-2</v>
      </c>
      <c r="AP2">
        <f t="shared" si="16"/>
        <v>-1</v>
      </c>
      <c r="AQ2">
        <f t="shared" si="16"/>
        <v>0</v>
      </c>
      <c r="AR2">
        <f t="shared" si="16"/>
        <v>1</v>
      </c>
      <c r="AS2">
        <f t="shared" si="16"/>
        <v>2</v>
      </c>
      <c r="AT2">
        <f t="shared" si="16"/>
        <v>3</v>
      </c>
      <c r="AU2">
        <f t="shared" si="16"/>
        <v>4</v>
      </c>
      <c r="AV2">
        <f t="shared" si="16"/>
        <v>5</v>
      </c>
      <c r="AW2">
        <f t="shared" si="16"/>
        <v>6</v>
      </c>
    </row>
    <row r="3" spans="1:55" s="36" customFormat="1" ht="97.35" customHeight="1" x14ac:dyDescent="0.3">
      <c r="A3" s="227"/>
      <c r="B3" s="229"/>
      <c r="C3" s="110">
        <v>2012</v>
      </c>
      <c r="D3" s="110">
        <v>2013</v>
      </c>
      <c r="E3" s="110">
        <v>2014</v>
      </c>
      <c r="F3" s="110">
        <v>2015</v>
      </c>
      <c r="G3" s="110">
        <v>2016</v>
      </c>
      <c r="H3" s="110">
        <v>2017</v>
      </c>
      <c r="I3" s="110">
        <v>2018</v>
      </c>
      <c r="J3" s="110">
        <v>2019</v>
      </c>
      <c r="K3" s="110">
        <v>2020</v>
      </c>
      <c r="L3" s="110">
        <v>2021</v>
      </c>
      <c r="M3" s="110">
        <v>2022</v>
      </c>
      <c r="N3" s="110">
        <v>2023</v>
      </c>
      <c r="O3" s="111">
        <v>2024</v>
      </c>
      <c r="P3" s="112" t="s">
        <v>283</v>
      </c>
      <c r="Q3" s="112" t="s">
        <v>284</v>
      </c>
      <c r="R3" s="112" t="s">
        <v>285</v>
      </c>
      <c r="S3" s="112" t="s">
        <v>286</v>
      </c>
      <c r="T3" s="112" t="s">
        <v>160</v>
      </c>
      <c r="U3" s="113" t="s">
        <v>287</v>
      </c>
      <c r="V3" s="113" t="s">
        <v>288</v>
      </c>
      <c r="W3" s="113" t="s">
        <v>289</v>
      </c>
      <c r="X3" s="113" t="s">
        <v>132</v>
      </c>
      <c r="Y3" s="112" t="s">
        <v>290</v>
      </c>
      <c r="Z3" s="112" t="s">
        <v>291</v>
      </c>
      <c r="AA3" s="112" t="s">
        <v>292</v>
      </c>
      <c r="AB3" s="113" t="s">
        <v>293</v>
      </c>
      <c r="AC3" s="113" t="s">
        <v>294</v>
      </c>
      <c r="AD3" s="113" t="s">
        <v>295</v>
      </c>
      <c r="AE3" s="112" t="s">
        <v>67</v>
      </c>
      <c r="AF3" s="112" t="s">
        <v>296</v>
      </c>
      <c r="AH3" s="114" t="s">
        <v>297</v>
      </c>
      <c r="AI3" s="114" t="s">
        <v>298</v>
      </c>
      <c r="AJ3" s="114" t="s">
        <v>299</v>
      </c>
      <c r="AK3" s="115">
        <v>2012</v>
      </c>
      <c r="AL3" s="115">
        <v>2013</v>
      </c>
      <c r="AM3" s="115">
        <v>2014</v>
      </c>
      <c r="AN3" s="115">
        <v>2015</v>
      </c>
      <c r="AO3" s="115">
        <v>2016</v>
      </c>
      <c r="AP3" s="115">
        <v>2017</v>
      </c>
      <c r="AQ3" s="115">
        <v>2018</v>
      </c>
      <c r="AR3" s="115">
        <v>2019</v>
      </c>
      <c r="AS3" s="115">
        <v>2020</v>
      </c>
      <c r="AT3" s="115">
        <v>2021</v>
      </c>
      <c r="AU3" s="115">
        <v>2022</v>
      </c>
      <c r="AV3" s="115">
        <v>2023</v>
      </c>
      <c r="AW3" s="115">
        <v>2024</v>
      </c>
      <c r="AX3" s="116" t="s">
        <v>151</v>
      </c>
      <c r="AY3" s="117" t="s">
        <v>300</v>
      </c>
      <c r="AZ3" s="4" t="s">
        <v>301</v>
      </c>
      <c r="BA3" s="137" t="s">
        <v>302</v>
      </c>
      <c r="BB3" s="137" t="s">
        <v>303</v>
      </c>
      <c r="BC3" s="137" t="s">
        <v>157</v>
      </c>
    </row>
    <row r="4" spans="1:55" s="36" customFormat="1" ht="76.349999999999994" customHeight="1" x14ac:dyDescent="0.3">
      <c r="A4" s="53">
        <v>1</v>
      </c>
      <c r="B4" s="53" t="str">
        <f>WLs!C4</f>
        <v>Tochten ABC1</v>
      </c>
      <c r="C4" s="35"/>
      <c r="D4" s="35">
        <v>0.52100000000000013</v>
      </c>
      <c r="E4" s="35"/>
      <c r="F4" s="35"/>
      <c r="G4" s="35">
        <v>0.49120000000000008</v>
      </c>
      <c r="H4" s="35"/>
      <c r="I4" s="35"/>
      <c r="J4" s="35">
        <v>0.59600000000000009</v>
      </c>
      <c r="K4" s="35"/>
      <c r="L4" s="35"/>
      <c r="M4" s="35">
        <v>0.41159999999999997</v>
      </c>
      <c r="N4" s="35"/>
      <c r="O4" s="35"/>
      <c r="P4" s="54">
        <v>0.49</v>
      </c>
      <c r="Q4" s="59" t="s">
        <v>323</v>
      </c>
      <c r="R4" s="54">
        <v>0.49</v>
      </c>
      <c r="S4" s="54">
        <v>-0.04</v>
      </c>
      <c r="T4" s="54">
        <f>VLOOKUP(A4,WLs!$A$4:$J$23,9,FALSE)</f>
        <v>0.45</v>
      </c>
      <c r="U4" s="55">
        <v>0.50600000000000001</v>
      </c>
      <c r="V4" s="55">
        <v>1.6000000000000014E-2</v>
      </c>
      <c r="W4" s="56" t="s">
        <v>367</v>
      </c>
      <c r="X4" s="55">
        <v>0.52</v>
      </c>
      <c r="Y4" s="54">
        <v>0.5</v>
      </c>
      <c r="Z4" s="74">
        <v>0.54</v>
      </c>
      <c r="AA4" s="54">
        <v>0.51</v>
      </c>
      <c r="AB4" s="55">
        <v>0.504</v>
      </c>
      <c r="AC4" s="55">
        <f>AI4</f>
        <v>-7.446666666666683E-3</v>
      </c>
      <c r="AD4" s="61">
        <f>AJ4</f>
        <v>0.40026716793805167</v>
      </c>
      <c r="AE4" s="54">
        <v>0.49</v>
      </c>
      <c r="AF4" s="59" t="s">
        <v>368</v>
      </c>
      <c r="AH4" s="38">
        <f t="shared" ref="AH4:AH23" si="17">AVERAGE(C4:O4)</f>
        <v>0.50495000000000001</v>
      </c>
      <c r="AI4" s="39">
        <f t="shared" ref="AI4:AI16" si="18">SLOPE(C4:O4,C$3:O$3)</f>
        <v>-7.446666666666683E-3</v>
      </c>
      <c r="AJ4" s="39">
        <f>RSQ(AK4:AW4,AK$3:AW$3)</f>
        <v>0.40026716793805167</v>
      </c>
      <c r="AK4" s="40" t="str">
        <f t="shared" ref="AK4:AK23" si="19">IF(C4="","",C4-$AH4+AK$2*$AI4)</f>
        <v/>
      </c>
      <c r="AL4" s="40">
        <f t="shared" ref="AL4:AL23" si="20">IF(D4="","",D4-$AH4+AL$2*$AI4)</f>
        <v>5.3283333333333537E-2</v>
      </c>
      <c r="AM4" s="40" t="str">
        <f t="shared" ref="AM4:AM23" si="21">IF(E4="","",E4-$AH4+AM$2*$AI4)</f>
        <v/>
      </c>
      <c r="AN4" s="40" t="str">
        <f t="shared" ref="AN4:AN23" si="22">IF(F4="","",F4-$AH4+AN$2*$AI4)</f>
        <v/>
      </c>
      <c r="AO4" s="40">
        <f t="shared" ref="AO4:AO23" si="23">IF(G4="","",G4-$AH4+AO$2*$AI4)</f>
        <v>1.1433333333334371E-3</v>
      </c>
      <c r="AP4" s="40" t="str">
        <f t="shared" ref="AP4:AP23" si="24">IF(H4="","",H4-$AH4+AP$2*$AI4)</f>
        <v/>
      </c>
      <c r="AQ4" s="40" t="str">
        <f t="shared" ref="AQ4:AQ23" si="25">IF(I4="","",I4-$AH4+AQ$2*$AI4)</f>
        <v/>
      </c>
      <c r="AR4" s="40">
        <f t="shared" ref="AR4:AR23" si="26">IF(J4="","",J4-$AH4+AR$2*$AI4)</f>
        <v>8.3603333333333391E-2</v>
      </c>
      <c r="AS4" s="40" t="str">
        <f t="shared" ref="AS4:AS23" si="27">IF(K4="","",K4-$AH4+AS$2*$AI4)</f>
        <v/>
      </c>
      <c r="AT4" s="40" t="str">
        <f t="shared" ref="AT4:AT23" si="28">IF(L4="","",L4-$AH4+AT$2*$AI4)</f>
        <v/>
      </c>
      <c r="AU4" s="40">
        <f t="shared" ref="AU4:AU23" si="29">IF(M4="","",M4-$AH4+AU$2*$AI4)</f>
        <v>-0.12313666666666678</v>
      </c>
      <c r="AV4" s="40" t="str">
        <f t="shared" ref="AV4:AV23" si="30">IF(N4="","",N4-$AH4+AV$2*$AI4)</f>
        <v/>
      </c>
      <c r="AW4" s="40" t="str">
        <f t="shared" ref="AW4:AW23" si="31">IF(O4="","",O4-$AH4+AW$2*$AI4)</f>
        <v/>
      </c>
      <c r="AX4" s="41" t="s">
        <v>161</v>
      </c>
      <c r="AY4" s="42">
        <f>_xlfn.STDEV.S(AK4:AW5)</f>
        <v>6.3849362779411264E-2</v>
      </c>
      <c r="AZ4" s="34">
        <v>1</v>
      </c>
      <c r="BA4" s="34">
        <v>1</v>
      </c>
      <c r="BB4" s="34" t="str">
        <f>IF(BA4=1,"Landelijke tussenevaluatie",IF(BA4=2,"Berekening met concentratie nutriënten gelijk aan norm","n.b."))</f>
        <v>Landelijke tussenevaluatie</v>
      </c>
      <c r="BC4" s="34">
        <f>IF(BA4=1,Z4,IF(BA4=2,AA4,"n.b."))</f>
        <v>0.54</v>
      </c>
    </row>
    <row r="5" spans="1:55" s="36" customFormat="1" ht="57.6" x14ac:dyDescent="0.3">
      <c r="A5" s="53">
        <v>2</v>
      </c>
      <c r="B5" s="53" t="str">
        <f>WLs!C5</f>
        <v>Tochten ABC2</v>
      </c>
      <c r="C5" s="35"/>
      <c r="D5" s="35">
        <v>0.4395</v>
      </c>
      <c r="E5" s="35"/>
      <c r="F5" s="35"/>
      <c r="G5" s="35">
        <v>0.41349999999999998</v>
      </c>
      <c r="H5" s="35"/>
      <c r="I5" s="35"/>
      <c r="J5" s="35">
        <v>0.40283333333333321</v>
      </c>
      <c r="K5" s="35"/>
      <c r="L5" s="35"/>
      <c r="M5" s="35">
        <v>0.39916666666666667</v>
      </c>
      <c r="N5" s="35"/>
      <c r="O5" s="35"/>
      <c r="P5" s="54">
        <v>0.39</v>
      </c>
      <c r="Q5" s="59" t="s">
        <v>305</v>
      </c>
      <c r="R5" s="54">
        <v>0.38999999999999996</v>
      </c>
      <c r="S5" s="54">
        <v>-0.04</v>
      </c>
      <c r="T5" s="54">
        <f>VLOOKUP(A5,WLs!$A$4:$J$23,9,FALSE)</f>
        <v>0.35</v>
      </c>
      <c r="U5" s="55">
        <v>0.42699999999999999</v>
      </c>
      <c r="V5" s="55">
        <v>3.6999999999999977E-2</v>
      </c>
      <c r="W5" s="56" t="s">
        <v>305</v>
      </c>
      <c r="X5" s="55">
        <v>0.43</v>
      </c>
      <c r="Y5" s="54">
        <v>0.4</v>
      </c>
      <c r="Z5" s="74">
        <v>0.41</v>
      </c>
      <c r="AA5" s="54">
        <v>0.39</v>
      </c>
      <c r="AB5" s="55">
        <v>0.40100000000000002</v>
      </c>
      <c r="AC5" s="55">
        <f t="shared" ref="AC5:AC23" si="32">AI5</f>
        <v>-4.3888888888888918E-3</v>
      </c>
      <c r="AD5" s="61">
        <f t="shared" ref="AD5:AD23" si="33">AJ5</f>
        <v>0.96435248852697109</v>
      </c>
      <c r="AE5" s="54">
        <v>0.4</v>
      </c>
      <c r="AF5" s="59" t="s">
        <v>369</v>
      </c>
      <c r="AH5" s="38">
        <f t="shared" si="17"/>
        <v>0.41374999999999995</v>
      </c>
      <c r="AI5" s="39">
        <f t="shared" si="18"/>
        <v>-4.3888888888888918E-3</v>
      </c>
      <c r="AJ5" s="39">
        <f t="shared" ref="AJ5:AJ23" si="34">RSQ(AK5:AW5,AK$3:AW$3)</f>
        <v>0.96435248852697109</v>
      </c>
      <c r="AK5" s="40" t="str">
        <f t="shared" si="19"/>
        <v/>
      </c>
      <c r="AL5" s="40">
        <f t="shared" si="20"/>
        <v>4.7694444444444511E-2</v>
      </c>
      <c r="AM5" s="40" t="str">
        <f t="shared" si="21"/>
        <v/>
      </c>
      <c r="AN5" s="40" t="str">
        <f t="shared" si="22"/>
        <v/>
      </c>
      <c r="AO5" s="40">
        <f t="shared" si="23"/>
        <v>8.5277777777778112E-3</v>
      </c>
      <c r="AP5" s="40" t="str">
        <f t="shared" si="24"/>
        <v/>
      </c>
      <c r="AQ5" s="40" t="str">
        <f t="shared" si="25"/>
        <v/>
      </c>
      <c r="AR5" s="40">
        <f t="shared" si="26"/>
        <v>-1.5305555555555633E-2</v>
      </c>
      <c r="AS5" s="40" t="str">
        <f t="shared" si="27"/>
        <v/>
      </c>
      <c r="AT5" s="40" t="str">
        <f t="shared" si="28"/>
        <v/>
      </c>
      <c r="AU5" s="40">
        <f t="shared" si="29"/>
        <v>-3.2138888888888849E-2</v>
      </c>
      <c r="AV5" s="40" t="str">
        <f t="shared" si="30"/>
        <v/>
      </c>
      <c r="AW5" s="40" t="str">
        <f t="shared" si="31"/>
        <v/>
      </c>
      <c r="AX5" s="43" t="s">
        <v>161</v>
      </c>
      <c r="AY5" s="44">
        <f>AY4</f>
        <v>6.3849362779411264E-2</v>
      </c>
      <c r="AZ5" s="34">
        <v>2</v>
      </c>
      <c r="BA5" s="34">
        <v>1</v>
      </c>
      <c r="BB5" s="34" t="str">
        <f t="shared" ref="BB5:BB23" si="35">IF(BA5=1,"Landelijke tussenevaluatie",IF(BA5=2,"Berekening met concentratie nutriënten gelijk aan norm","n.b."))</f>
        <v>Landelijke tussenevaluatie</v>
      </c>
      <c r="BC5" s="34">
        <f t="shared" ref="BC5:BC23" si="36">IF(BA5=1,Z5,IF(BA5=2,AA5,"n.b."))</f>
        <v>0.41</v>
      </c>
    </row>
    <row r="6" spans="1:55" s="36" customFormat="1" ht="72" x14ac:dyDescent="0.3">
      <c r="A6" s="53">
        <v>3</v>
      </c>
      <c r="B6" s="53" t="str">
        <f>WLs!C6</f>
        <v>Tochten DE Almere</v>
      </c>
      <c r="C6" s="35"/>
      <c r="D6" s="35"/>
      <c r="E6" s="35">
        <v>0.53300000000000003</v>
      </c>
      <c r="F6" s="35"/>
      <c r="G6" s="35"/>
      <c r="H6" s="35">
        <v>0.65450000000000008</v>
      </c>
      <c r="I6" s="35"/>
      <c r="J6" s="35"/>
      <c r="K6" s="35">
        <v>0.44950000000000001</v>
      </c>
      <c r="L6" s="35"/>
      <c r="M6" s="35"/>
      <c r="N6" s="35">
        <v>0.47050000000000003</v>
      </c>
      <c r="O6" s="35"/>
      <c r="P6" s="59" t="s">
        <v>329</v>
      </c>
      <c r="Q6" s="54"/>
      <c r="R6" s="54"/>
      <c r="S6" s="54"/>
      <c r="T6" s="54" t="s">
        <v>330</v>
      </c>
      <c r="U6" s="55">
        <v>0.59375</v>
      </c>
      <c r="V6" s="55" t="s">
        <v>314</v>
      </c>
      <c r="W6" s="56" t="s">
        <v>305</v>
      </c>
      <c r="X6" s="55">
        <v>0.59</v>
      </c>
      <c r="Y6" s="54" t="s">
        <v>314</v>
      </c>
      <c r="Z6" s="54" t="s">
        <v>314</v>
      </c>
      <c r="AA6" s="54" t="s">
        <v>314</v>
      </c>
      <c r="AB6" s="55">
        <v>0.46</v>
      </c>
      <c r="AC6" s="55">
        <f t="shared" si="32"/>
        <v>-1.3083333333333336E-2</v>
      </c>
      <c r="AD6" s="61">
        <f t="shared" si="33"/>
        <v>0.63398775183709577</v>
      </c>
      <c r="AE6" s="54">
        <v>0.43</v>
      </c>
      <c r="AF6" s="59" t="s">
        <v>370</v>
      </c>
      <c r="AH6" s="38">
        <f t="shared" si="17"/>
        <v>0.52687499999999998</v>
      </c>
      <c r="AI6" s="39">
        <f t="shared" si="18"/>
        <v>-1.3083333333333336E-2</v>
      </c>
      <c r="AJ6" s="39">
        <f t="shared" ref="AJ6:AJ7" si="37">RSQ(AK6:AW6,AK$3:AW$3)</f>
        <v>0.63398775183709577</v>
      </c>
      <c r="AK6" s="40" t="str">
        <f t="shared" si="19"/>
        <v/>
      </c>
      <c r="AL6" s="40" t="str">
        <f t="shared" si="20"/>
        <v/>
      </c>
      <c r="AM6" s="40">
        <f t="shared" si="21"/>
        <v>5.845833333333339E-2</v>
      </c>
      <c r="AN6" s="40" t="str">
        <f t="shared" si="22"/>
        <v/>
      </c>
      <c r="AO6" s="40" t="str">
        <f t="shared" si="23"/>
        <v/>
      </c>
      <c r="AP6" s="40">
        <f t="shared" si="24"/>
        <v>0.14070833333333344</v>
      </c>
      <c r="AQ6" s="40" t="str">
        <f t="shared" si="25"/>
        <v/>
      </c>
      <c r="AR6" s="40" t="str">
        <f t="shared" si="26"/>
        <v/>
      </c>
      <c r="AS6" s="40">
        <f t="shared" si="27"/>
        <v>-0.10354166666666664</v>
      </c>
      <c r="AT6" s="40" t="str">
        <f t="shared" si="28"/>
        <v/>
      </c>
      <c r="AU6" s="40" t="str">
        <f t="shared" si="29"/>
        <v/>
      </c>
      <c r="AV6" s="40">
        <f t="shared" si="30"/>
        <v>-0.12179166666666663</v>
      </c>
      <c r="AW6" s="40" t="str">
        <f t="shared" si="31"/>
        <v/>
      </c>
      <c r="AX6" s="43" t="s">
        <v>163</v>
      </c>
      <c r="AY6" s="44" t="e">
        <f>#REF!</f>
        <v>#REF!</v>
      </c>
      <c r="AZ6" s="34">
        <v>3</v>
      </c>
      <c r="BA6" s="34"/>
      <c r="BB6" s="34" t="str">
        <f t="shared" si="35"/>
        <v>n.b.</v>
      </c>
      <c r="BC6" s="34" t="str">
        <f t="shared" si="36"/>
        <v>n.b.</v>
      </c>
    </row>
    <row r="7" spans="1:55" s="36" customFormat="1" ht="57.6" x14ac:dyDescent="0.3">
      <c r="A7" s="53">
        <v>4</v>
      </c>
      <c r="B7" s="53" t="str">
        <f>WLs!C7</f>
        <v>Tochten DE Zuidlob</v>
      </c>
      <c r="C7" s="35"/>
      <c r="D7" s="35"/>
      <c r="E7" s="35">
        <v>0.46549999999999997</v>
      </c>
      <c r="F7" s="35"/>
      <c r="G7" s="35"/>
      <c r="H7" s="35">
        <v>0.45250000000000001</v>
      </c>
      <c r="I7" s="35"/>
      <c r="J7" s="35"/>
      <c r="K7" s="35">
        <v>0.31900000000000001</v>
      </c>
      <c r="L7" s="35"/>
      <c r="M7" s="35"/>
      <c r="N7" s="35">
        <v>0.37574999999999997</v>
      </c>
      <c r="O7" s="35"/>
      <c r="P7" s="59" t="s">
        <v>329</v>
      </c>
      <c r="Q7" s="54"/>
      <c r="R7" s="54"/>
      <c r="S7" s="54"/>
      <c r="T7" s="54" t="s">
        <v>330</v>
      </c>
      <c r="U7" s="55">
        <v>0.45900000000000002</v>
      </c>
      <c r="V7" s="55" t="s">
        <v>314</v>
      </c>
      <c r="W7" s="56" t="s">
        <v>305</v>
      </c>
      <c r="X7" s="55">
        <v>0.45900000000000002</v>
      </c>
      <c r="Y7" s="54" t="s">
        <v>314</v>
      </c>
      <c r="Z7" s="54" t="s">
        <v>314</v>
      </c>
      <c r="AA7" s="54" t="s">
        <v>314</v>
      </c>
      <c r="AB7" s="55">
        <v>0.34739999999999999</v>
      </c>
      <c r="AC7" s="55">
        <f t="shared" si="32"/>
        <v>-1.3425000000000001E-2</v>
      </c>
      <c r="AD7" s="61">
        <f t="shared" si="33"/>
        <v>0.84294198109737473</v>
      </c>
      <c r="AE7" s="54">
        <v>0.43</v>
      </c>
      <c r="AF7" s="59" t="s">
        <v>371</v>
      </c>
      <c r="AH7" s="38">
        <f t="shared" si="17"/>
        <v>0.40318749999999998</v>
      </c>
      <c r="AI7" s="39">
        <f t="shared" si="18"/>
        <v>-1.3425000000000001E-2</v>
      </c>
      <c r="AJ7" s="39">
        <f t="shared" si="37"/>
        <v>0.84294198109737473</v>
      </c>
      <c r="AK7" s="40" t="str">
        <f t="shared" si="19"/>
        <v/>
      </c>
      <c r="AL7" s="40" t="str">
        <f t="shared" si="20"/>
        <v/>
      </c>
      <c r="AM7" s="40">
        <f t="shared" si="21"/>
        <v>0.11601249999999999</v>
      </c>
      <c r="AN7" s="40" t="str">
        <f t="shared" si="22"/>
        <v/>
      </c>
      <c r="AO7" s="40" t="str">
        <f t="shared" si="23"/>
        <v/>
      </c>
      <c r="AP7" s="40">
        <f t="shared" si="24"/>
        <v>6.2737500000000043E-2</v>
      </c>
      <c r="AQ7" s="40" t="str">
        <f t="shared" si="25"/>
        <v/>
      </c>
      <c r="AR7" s="40" t="str">
        <f t="shared" si="26"/>
        <v/>
      </c>
      <c r="AS7" s="40">
        <f t="shared" si="27"/>
        <v>-0.11103749999999997</v>
      </c>
      <c r="AT7" s="40" t="str">
        <f t="shared" si="28"/>
        <v/>
      </c>
      <c r="AU7" s="40" t="str">
        <f t="shared" si="29"/>
        <v/>
      </c>
      <c r="AV7" s="40">
        <f t="shared" si="30"/>
        <v>-9.4562500000000008E-2</v>
      </c>
      <c r="AW7" s="40" t="str">
        <f t="shared" si="31"/>
        <v/>
      </c>
      <c r="AX7" s="43" t="s">
        <v>163</v>
      </c>
      <c r="AY7" s="44" t="e">
        <f t="shared" ref="AY7:AY12" si="38">AY6</f>
        <v>#REF!</v>
      </c>
      <c r="AZ7" s="34">
        <v>4</v>
      </c>
      <c r="BA7" s="34"/>
      <c r="BB7" s="34" t="str">
        <f t="shared" si="35"/>
        <v>n.b.</v>
      </c>
      <c r="BC7" s="34" t="str">
        <f t="shared" si="36"/>
        <v>n.b.</v>
      </c>
    </row>
    <row r="8" spans="1:55" s="36" customFormat="1" ht="93" customHeight="1" x14ac:dyDescent="0.3">
      <c r="A8" s="53">
        <v>5</v>
      </c>
      <c r="B8" s="53" t="str">
        <f>WLs!C8</f>
        <v>Tochten FGIK</v>
      </c>
      <c r="C8" s="35"/>
      <c r="D8" s="35"/>
      <c r="E8" s="35">
        <v>0.34209090909090911</v>
      </c>
      <c r="F8" s="35"/>
      <c r="G8" s="35"/>
      <c r="H8" s="35">
        <v>0.36072727272727279</v>
      </c>
      <c r="I8" s="35"/>
      <c r="J8" s="35"/>
      <c r="K8" s="35">
        <v>0.34981818181818186</v>
      </c>
      <c r="L8" s="35"/>
      <c r="M8" s="35"/>
      <c r="N8" s="35">
        <v>0.40227272727272728</v>
      </c>
      <c r="O8" s="35"/>
      <c r="P8" s="54">
        <v>0.32</v>
      </c>
      <c r="Q8" s="59" t="s">
        <v>372</v>
      </c>
      <c r="R8" s="54">
        <v>0.37</v>
      </c>
      <c r="S8" s="54">
        <v>-0.02</v>
      </c>
      <c r="T8" s="54">
        <f>VLOOKUP(A8,WLs!$A$4:$J$23,9,FALSE)</f>
        <v>0.35</v>
      </c>
      <c r="U8" s="55">
        <v>0.35149999999999998</v>
      </c>
      <c r="V8" s="55">
        <v>3.1499999999999972E-2</v>
      </c>
      <c r="W8" s="56" t="s">
        <v>373</v>
      </c>
      <c r="X8" s="55">
        <v>0.42</v>
      </c>
      <c r="Y8" s="54">
        <v>0.36</v>
      </c>
      <c r="Z8" s="74">
        <v>0.36</v>
      </c>
      <c r="AA8" s="54">
        <v>0.36</v>
      </c>
      <c r="AB8" s="55">
        <v>0.376</v>
      </c>
      <c r="AC8" s="55">
        <f t="shared" si="32"/>
        <v>5.6545454545454529E-3</v>
      </c>
      <c r="AD8" s="61">
        <f t="shared" si="33"/>
        <v>0.88914844702209361</v>
      </c>
      <c r="AE8" s="54">
        <v>0.39</v>
      </c>
      <c r="AF8" s="59" t="s">
        <v>374</v>
      </c>
      <c r="AH8" s="38">
        <f t="shared" si="17"/>
        <v>0.36372727272727279</v>
      </c>
      <c r="AI8" s="39">
        <f t="shared" si="18"/>
        <v>5.6545454545454529E-3</v>
      </c>
      <c r="AJ8" s="39">
        <f t="shared" si="34"/>
        <v>0.88914844702209361</v>
      </c>
      <c r="AK8" s="40" t="str">
        <f t="shared" si="19"/>
        <v/>
      </c>
      <c r="AL8" s="40" t="str">
        <f t="shared" si="20"/>
        <v/>
      </c>
      <c r="AM8" s="40">
        <f t="shared" si="21"/>
        <v>-4.4254545454545491E-2</v>
      </c>
      <c r="AN8" s="40" t="str">
        <f t="shared" si="22"/>
        <v/>
      </c>
      <c r="AO8" s="40" t="str">
        <f t="shared" si="23"/>
        <v/>
      </c>
      <c r="AP8" s="40">
        <f t="shared" si="24"/>
        <v>-8.6545454545454564E-3</v>
      </c>
      <c r="AQ8" s="40" t="str">
        <f t="shared" si="25"/>
        <v/>
      </c>
      <c r="AR8" s="40" t="str">
        <f t="shared" si="26"/>
        <v/>
      </c>
      <c r="AS8" s="40">
        <f t="shared" si="27"/>
        <v>-2.6000000000000207E-3</v>
      </c>
      <c r="AT8" s="40" t="str">
        <f t="shared" si="28"/>
        <v/>
      </c>
      <c r="AU8" s="40" t="str">
        <f t="shared" si="29"/>
        <v/>
      </c>
      <c r="AV8" s="40">
        <f t="shared" si="30"/>
        <v>6.6818181818181763E-2</v>
      </c>
      <c r="AW8" s="40" t="str">
        <f t="shared" si="31"/>
        <v/>
      </c>
      <c r="AX8" s="43" t="s">
        <v>163</v>
      </c>
      <c r="AY8" s="44" t="e">
        <f t="shared" si="38"/>
        <v>#REF!</v>
      </c>
      <c r="AZ8" s="34">
        <v>5</v>
      </c>
      <c r="BA8" s="34">
        <v>1</v>
      </c>
      <c r="BB8" s="34" t="str">
        <f t="shared" si="35"/>
        <v>Landelijke tussenevaluatie</v>
      </c>
      <c r="BC8" s="34">
        <f t="shared" si="36"/>
        <v>0.36</v>
      </c>
    </row>
    <row r="9" spans="1:55" s="36" customFormat="1" ht="101.25" customHeight="1" x14ac:dyDescent="0.3">
      <c r="A9" s="53">
        <v>6</v>
      </c>
      <c r="B9" s="53" t="str">
        <f>WLs!C9</f>
        <v>Tochten H</v>
      </c>
      <c r="C9" s="35">
        <v>0.42099999999999999</v>
      </c>
      <c r="D9" s="35">
        <v>0.4042</v>
      </c>
      <c r="E9" s="35"/>
      <c r="F9" s="35"/>
      <c r="G9" s="35">
        <v>0.44559999999999994</v>
      </c>
      <c r="H9" s="35"/>
      <c r="I9" s="35"/>
      <c r="J9" s="35">
        <v>0.36500000000000005</v>
      </c>
      <c r="K9" s="35"/>
      <c r="L9" s="35"/>
      <c r="M9" s="35">
        <v>0.34840000000000004</v>
      </c>
      <c r="N9" s="35"/>
      <c r="O9" s="35"/>
      <c r="P9" s="81" t="s">
        <v>375</v>
      </c>
      <c r="Q9" s="59" t="s">
        <v>372</v>
      </c>
      <c r="R9" s="54">
        <v>0.4</v>
      </c>
      <c r="S9" s="54">
        <v>0</v>
      </c>
      <c r="T9" s="54">
        <f>VLOOKUP(A9,WLs!$A$4:$J$23,9,FALSE)</f>
        <v>0.4</v>
      </c>
      <c r="U9" s="82" t="s">
        <v>376</v>
      </c>
      <c r="V9" s="55">
        <v>7.4900000000000022E-2</v>
      </c>
      <c r="W9" s="56" t="s">
        <v>377</v>
      </c>
      <c r="X9" s="55">
        <v>0.44</v>
      </c>
      <c r="Y9" s="81" t="s">
        <v>378</v>
      </c>
      <c r="Z9" s="54">
        <v>0.38</v>
      </c>
      <c r="AA9" s="74">
        <v>0.43</v>
      </c>
      <c r="AB9" s="55">
        <v>0.35670000000000002</v>
      </c>
      <c r="AC9" s="55">
        <f t="shared" si="32"/>
        <v>-7.2959537572254282E-3</v>
      </c>
      <c r="AD9" s="61">
        <f t="shared" si="33"/>
        <v>0.8455186000853272</v>
      </c>
      <c r="AE9" s="54">
        <v>0.41</v>
      </c>
      <c r="AF9" s="59" t="s">
        <v>379</v>
      </c>
      <c r="AH9" s="38">
        <f t="shared" si="17"/>
        <v>0.39683999999999997</v>
      </c>
      <c r="AI9" s="39">
        <f t="shared" si="18"/>
        <v>-7.2959537572254282E-3</v>
      </c>
      <c r="AJ9" s="39">
        <f t="shared" si="34"/>
        <v>0.8455186000853272</v>
      </c>
      <c r="AK9" s="40">
        <f t="shared" si="19"/>
        <v>6.7935722543352589E-2</v>
      </c>
      <c r="AL9" s="40">
        <f t="shared" si="20"/>
        <v>4.3839768786127171E-2</v>
      </c>
      <c r="AM9" s="40" t="str">
        <f t="shared" si="21"/>
        <v/>
      </c>
      <c r="AN9" s="40" t="str">
        <f t="shared" si="22"/>
        <v/>
      </c>
      <c r="AO9" s="40">
        <f t="shared" si="23"/>
        <v>6.3351907514450828E-2</v>
      </c>
      <c r="AP9" s="40" t="str">
        <f t="shared" si="24"/>
        <v/>
      </c>
      <c r="AQ9" s="40" t="str">
        <f t="shared" si="25"/>
        <v/>
      </c>
      <c r="AR9" s="40">
        <f t="shared" si="26"/>
        <v>-3.9135953757225353E-2</v>
      </c>
      <c r="AS9" s="40" t="str">
        <f t="shared" si="27"/>
        <v/>
      </c>
      <c r="AT9" s="40" t="str">
        <f t="shared" si="28"/>
        <v/>
      </c>
      <c r="AU9" s="40">
        <f t="shared" si="29"/>
        <v>-7.7623815028901644E-2</v>
      </c>
      <c r="AV9" s="40" t="str">
        <f t="shared" si="30"/>
        <v/>
      </c>
      <c r="AW9" s="40" t="str">
        <f t="shared" si="31"/>
        <v/>
      </c>
      <c r="AX9" s="43" t="s">
        <v>163</v>
      </c>
      <c r="AY9" s="44" t="e">
        <f t="shared" si="38"/>
        <v>#REF!</v>
      </c>
      <c r="AZ9" s="34">
        <v>6</v>
      </c>
      <c r="BA9" s="34">
        <v>2</v>
      </c>
      <c r="BB9" s="34" t="str">
        <f t="shared" si="35"/>
        <v>Berekening met concentratie nutriënten gelijk aan norm</v>
      </c>
      <c r="BC9" s="34">
        <f t="shared" si="36"/>
        <v>0.43</v>
      </c>
    </row>
    <row r="10" spans="1:55" s="36" customFormat="1" ht="213" customHeight="1" x14ac:dyDescent="0.3">
      <c r="A10" s="53">
        <v>7</v>
      </c>
      <c r="B10" s="53" t="str">
        <f>WLs!C10</f>
        <v>Tochten J</v>
      </c>
      <c r="C10" s="35"/>
      <c r="D10" s="35">
        <v>0.19900000000000001</v>
      </c>
      <c r="E10" s="35"/>
      <c r="F10" s="35"/>
      <c r="G10" s="35">
        <v>0.221</v>
      </c>
      <c r="H10" s="35"/>
      <c r="I10" s="35"/>
      <c r="J10" s="35">
        <v>0.219</v>
      </c>
      <c r="K10" s="35"/>
      <c r="L10" s="35"/>
      <c r="M10" s="35">
        <v>0.18099999999999999</v>
      </c>
      <c r="N10" s="35"/>
      <c r="O10" s="35"/>
      <c r="P10" s="81" t="s">
        <v>380</v>
      </c>
      <c r="Q10" s="59" t="s">
        <v>372</v>
      </c>
      <c r="R10" s="54">
        <v>0.22</v>
      </c>
      <c r="S10" s="54">
        <v>-0.02</v>
      </c>
      <c r="T10" s="54">
        <f>VLOOKUP(A10,WLs!$A$4:$J$23,9,FALSE)</f>
        <v>0.2</v>
      </c>
      <c r="U10" s="82" t="s">
        <v>381</v>
      </c>
      <c r="V10" s="55">
        <v>4.3699999999999989E-2</v>
      </c>
      <c r="W10" s="56" t="s">
        <v>382</v>
      </c>
      <c r="X10" s="107">
        <v>0.25</v>
      </c>
      <c r="Y10" s="81" t="s">
        <v>383</v>
      </c>
      <c r="Z10" s="54">
        <v>0.2</v>
      </c>
      <c r="AA10" s="74">
        <v>0.2</v>
      </c>
      <c r="AB10" s="55">
        <v>0.1817</v>
      </c>
      <c r="AC10" s="55">
        <f t="shared" si="32"/>
        <v>-1.8666666666666684E-3</v>
      </c>
      <c r="AD10" s="61">
        <f t="shared" si="33"/>
        <v>0.40875912408759174</v>
      </c>
      <c r="AE10" s="54">
        <v>0.17</v>
      </c>
      <c r="AF10" s="59" t="s">
        <v>384</v>
      </c>
      <c r="AH10" s="38">
        <f t="shared" si="17"/>
        <v>0.20500000000000002</v>
      </c>
      <c r="AI10" s="39">
        <f t="shared" si="18"/>
        <v>-1.8666666666666684E-3</v>
      </c>
      <c r="AJ10" s="39">
        <f t="shared" si="34"/>
        <v>0.40875912408759174</v>
      </c>
      <c r="AK10" s="40" t="str">
        <f t="shared" si="19"/>
        <v/>
      </c>
      <c r="AL10" s="40">
        <f t="shared" si="20"/>
        <v>3.3333333333333375E-3</v>
      </c>
      <c r="AM10" s="40" t="str">
        <f t="shared" si="21"/>
        <v/>
      </c>
      <c r="AN10" s="40" t="str">
        <f t="shared" si="22"/>
        <v/>
      </c>
      <c r="AO10" s="40">
        <f t="shared" si="23"/>
        <v>1.9733333333333325E-2</v>
      </c>
      <c r="AP10" s="40" t="str">
        <f t="shared" si="24"/>
        <v/>
      </c>
      <c r="AQ10" s="40" t="str">
        <f t="shared" si="25"/>
        <v/>
      </c>
      <c r="AR10" s="40">
        <f t="shared" si="26"/>
        <v>1.2133333333333315E-2</v>
      </c>
      <c r="AS10" s="40" t="str">
        <f t="shared" si="27"/>
        <v/>
      </c>
      <c r="AT10" s="40" t="str">
        <f t="shared" si="28"/>
        <v/>
      </c>
      <c r="AU10" s="40">
        <f t="shared" si="29"/>
        <v>-3.1466666666666698E-2</v>
      </c>
      <c r="AV10" s="40" t="str">
        <f t="shared" si="30"/>
        <v/>
      </c>
      <c r="AW10" s="40" t="str">
        <f t="shared" si="31"/>
        <v/>
      </c>
      <c r="AX10" s="43" t="s">
        <v>163</v>
      </c>
      <c r="AY10" s="44" t="e">
        <f t="shared" si="38"/>
        <v>#REF!</v>
      </c>
      <c r="AZ10" s="34">
        <v>7</v>
      </c>
      <c r="BA10" s="34">
        <v>2</v>
      </c>
      <c r="BB10" s="34" t="str">
        <f t="shared" si="35"/>
        <v>Berekening met concentratie nutriënten gelijk aan norm</v>
      </c>
      <c r="BC10" s="34">
        <f t="shared" si="36"/>
        <v>0.2</v>
      </c>
    </row>
    <row r="11" spans="1:55" s="36" customFormat="1" ht="159.75" customHeight="1" x14ac:dyDescent="0.3">
      <c r="A11" s="53">
        <v>8</v>
      </c>
      <c r="B11" s="53" t="str">
        <f>WLs!C11</f>
        <v>Tochten lage afdeling NOP</v>
      </c>
      <c r="C11" s="35">
        <v>0.17899999999999996</v>
      </c>
      <c r="D11" s="35"/>
      <c r="E11" s="35"/>
      <c r="F11" s="35">
        <v>0.21046666666666666</v>
      </c>
      <c r="G11" s="35"/>
      <c r="H11" s="35"/>
      <c r="I11" s="35">
        <v>0.22773333333333329</v>
      </c>
      <c r="J11" s="35"/>
      <c r="K11" s="35"/>
      <c r="L11" s="35">
        <v>0.2204666666666667</v>
      </c>
      <c r="M11" s="35"/>
      <c r="N11" s="35"/>
      <c r="O11" s="35">
        <v>0.24646666666666661</v>
      </c>
      <c r="P11" s="54">
        <v>0.2</v>
      </c>
      <c r="Q11" s="59" t="s">
        <v>372</v>
      </c>
      <c r="R11" s="54">
        <v>0.25</v>
      </c>
      <c r="S11" s="54">
        <v>0</v>
      </c>
      <c r="T11" s="54">
        <f>VLOOKUP(A11,WLs!$A$4:$J$23,9,FALSE)</f>
        <v>0.25</v>
      </c>
      <c r="U11" s="55">
        <v>0.219</v>
      </c>
      <c r="V11" s="55">
        <v>1.8999999999999989E-2</v>
      </c>
      <c r="W11" s="56" t="s">
        <v>385</v>
      </c>
      <c r="X11" s="55">
        <v>0.25</v>
      </c>
      <c r="Y11" s="54">
        <v>0.23</v>
      </c>
      <c r="Z11" s="54">
        <v>0.25</v>
      </c>
      <c r="AA11" s="74">
        <v>0.28999999999999998</v>
      </c>
      <c r="AB11" s="55">
        <v>0.23300000000000001</v>
      </c>
      <c r="AC11" s="55">
        <f t="shared" si="32"/>
        <v>4.8311111111111107E-3</v>
      </c>
      <c r="AD11" s="61">
        <f t="shared" si="33"/>
        <v>0.95657047211464419</v>
      </c>
      <c r="AE11" s="54">
        <v>0.22</v>
      </c>
      <c r="AF11" s="59" t="s">
        <v>386</v>
      </c>
      <c r="AH11" s="38">
        <f t="shared" si="17"/>
        <v>0.21682666666666667</v>
      </c>
      <c r="AI11" s="39">
        <f t="shared" si="18"/>
        <v>4.8311111111111107E-3</v>
      </c>
      <c r="AJ11" s="39">
        <f t="shared" si="34"/>
        <v>0.95657047211464419</v>
      </c>
      <c r="AK11" s="40">
        <f t="shared" si="19"/>
        <v>-6.6813333333333363E-2</v>
      </c>
      <c r="AL11" s="40" t="str">
        <f t="shared" si="20"/>
        <v/>
      </c>
      <c r="AM11" s="40" t="str">
        <f t="shared" si="21"/>
        <v/>
      </c>
      <c r="AN11" s="40">
        <f t="shared" si="22"/>
        <v>-2.0853333333333335E-2</v>
      </c>
      <c r="AO11" s="40" t="str">
        <f t="shared" si="23"/>
        <v/>
      </c>
      <c r="AP11" s="40" t="str">
        <f t="shared" si="24"/>
        <v/>
      </c>
      <c r="AQ11" s="40">
        <f t="shared" si="25"/>
        <v>1.090666666666662E-2</v>
      </c>
      <c r="AR11" s="40" t="str">
        <f t="shared" si="26"/>
        <v/>
      </c>
      <c r="AS11" s="40" t="str">
        <f t="shared" si="27"/>
        <v/>
      </c>
      <c r="AT11" s="40">
        <f t="shared" si="28"/>
        <v>1.8133333333333362E-2</v>
      </c>
      <c r="AU11" s="40" t="str">
        <f t="shared" si="29"/>
        <v/>
      </c>
      <c r="AV11" s="40" t="str">
        <f t="shared" si="30"/>
        <v/>
      </c>
      <c r="AW11" s="40">
        <f t="shared" si="31"/>
        <v>5.8626666666666605E-2</v>
      </c>
      <c r="AX11" s="43" t="s">
        <v>163</v>
      </c>
      <c r="AY11" s="44" t="e">
        <f t="shared" si="38"/>
        <v>#REF!</v>
      </c>
      <c r="AZ11" s="34">
        <v>8</v>
      </c>
      <c r="BA11" s="34">
        <v>2</v>
      </c>
      <c r="BB11" s="34" t="str">
        <f t="shared" si="35"/>
        <v>Berekening met concentratie nutriënten gelijk aan norm</v>
      </c>
      <c r="BC11" s="34">
        <f t="shared" si="36"/>
        <v>0.28999999999999998</v>
      </c>
    </row>
    <row r="12" spans="1:55" s="36" customFormat="1" ht="144" x14ac:dyDescent="0.3">
      <c r="A12" s="53">
        <v>9</v>
      </c>
      <c r="B12" s="53" t="str">
        <f>WLs!C12</f>
        <v>Tochten hoge afdeling NOP</v>
      </c>
      <c r="C12" s="35"/>
      <c r="D12" s="35">
        <v>0.45724999999999999</v>
      </c>
      <c r="E12" s="35"/>
      <c r="F12" s="35"/>
      <c r="G12" s="35">
        <v>0.48599999999999999</v>
      </c>
      <c r="H12" s="35"/>
      <c r="I12" s="35"/>
      <c r="J12" s="35">
        <v>0.53039999999999998</v>
      </c>
      <c r="K12" s="35"/>
      <c r="L12" s="35"/>
      <c r="M12" s="35">
        <v>0.4178</v>
      </c>
      <c r="N12" s="35"/>
      <c r="O12" s="35"/>
      <c r="P12" s="81" t="s">
        <v>387</v>
      </c>
      <c r="Q12" s="59" t="s">
        <v>388</v>
      </c>
      <c r="R12" s="54">
        <v>0.49</v>
      </c>
      <c r="S12" s="54">
        <v>-0.04</v>
      </c>
      <c r="T12" s="54">
        <f>VLOOKUP(A12,WLs!$A$4:$J$23,9,FALSE)</f>
        <v>0.45</v>
      </c>
      <c r="U12" s="82" t="s">
        <v>389</v>
      </c>
      <c r="V12" s="55">
        <v>3.1499999999999972E-2</v>
      </c>
      <c r="W12" s="56" t="s">
        <v>390</v>
      </c>
      <c r="X12" s="55">
        <v>0.53</v>
      </c>
      <c r="Y12" s="54">
        <v>0.48</v>
      </c>
      <c r="Z12" s="74">
        <v>0.54</v>
      </c>
      <c r="AA12" s="54">
        <v>0.53</v>
      </c>
      <c r="AB12" s="55">
        <v>0.47399999999999998</v>
      </c>
      <c r="AC12" s="55">
        <f t="shared" si="32"/>
        <v>-2.4649999999999989E-3</v>
      </c>
      <c r="AD12" s="61">
        <f t="shared" si="33"/>
        <v>0.14430787072397228</v>
      </c>
      <c r="AE12" s="54">
        <v>0.5</v>
      </c>
      <c r="AF12" s="59" t="s">
        <v>391</v>
      </c>
      <c r="AH12" s="38">
        <f t="shared" si="17"/>
        <v>0.47286249999999996</v>
      </c>
      <c r="AI12" s="39">
        <f t="shared" si="18"/>
        <v>-2.4649999999999989E-3</v>
      </c>
      <c r="AJ12" s="39">
        <f t="shared" si="34"/>
        <v>0.14430787072397228</v>
      </c>
      <c r="AK12" s="40" t="str">
        <f t="shared" si="19"/>
        <v/>
      </c>
      <c r="AL12" s="40">
        <f t="shared" si="20"/>
        <v>-3.2874999999999797E-3</v>
      </c>
      <c r="AM12" s="40" t="str">
        <f t="shared" si="21"/>
        <v/>
      </c>
      <c r="AN12" s="40" t="str">
        <f t="shared" si="22"/>
        <v/>
      </c>
      <c r="AO12" s="40">
        <f t="shared" si="23"/>
        <v>1.8067500000000021E-2</v>
      </c>
      <c r="AP12" s="40" t="str">
        <f t="shared" si="24"/>
        <v/>
      </c>
      <c r="AQ12" s="40" t="str">
        <f t="shared" si="25"/>
        <v/>
      </c>
      <c r="AR12" s="40">
        <f t="shared" si="26"/>
        <v>5.5072500000000017E-2</v>
      </c>
      <c r="AS12" s="40" t="str">
        <f t="shared" si="27"/>
        <v/>
      </c>
      <c r="AT12" s="40" t="str">
        <f t="shared" si="28"/>
        <v/>
      </c>
      <c r="AU12" s="40">
        <f t="shared" si="29"/>
        <v>-6.4922499999999952E-2</v>
      </c>
      <c r="AV12" s="40" t="str">
        <f t="shared" si="30"/>
        <v/>
      </c>
      <c r="AW12" s="40" t="str">
        <f t="shared" si="31"/>
        <v/>
      </c>
      <c r="AX12" s="43" t="s">
        <v>163</v>
      </c>
      <c r="AY12" s="44" t="e">
        <f t="shared" si="38"/>
        <v>#REF!</v>
      </c>
      <c r="AZ12" s="34">
        <v>9</v>
      </c>
      <c r="BA12" s="34">
        <v>1</v>
      </c>
      <c r="BB12" s="34" t="str">
        <f t="shared" si="35"/>
        <v>Landelijke tussenevaluatie</v>
      </c>
      <c r="BC12" s="34">
        <f t="shared" si="36"/>
        <v>0.54</v>
      </c>
    </row>
    <row r="13" spans="1:55" s="36" customFormat="1" ht="115.2" x14ac:dyDescent="0.3">
      <c r="A13" s="53">
        <v>10</v>
      </c>
      <c r="B13" s="53" t="str">
        <f>WLs!C13</f>
        <v>Vaarten NOP</v>
      </c>
      <c r="C13" s="35">
        <v>0.62571428571428567</v>
      </c>
      <c r="D13" s="35"/>
      <c r="E13" s="35"/>
      <c r="F13" s="35">
        <v>0.59100000000000008</v>
      </c>
      <c r="G13" s="35"/>
      <c r="H13" s="35"/>
      <c r="I13" s="35">
        <v>0.62742857142857145</v>
      </c>
      <c r="J13" s="35"/>
      <c r="K13" s="35"/>
      <c r="L13" s="35">
        <v>0.61057142857142854</v>
      </c>
      <c r="M13" s="35"/>
      <c r="N13" s="35"/>
      <c r="O13" s="35">
        <v>0.62214285714285711</v>
      </c>
      <c r="P13" s="81">
        <v>0.6</v>
      </c>
      <c r="Q13" s="59" t="s">
        <v>392</v>
      </c>
      <c r="R13" s="54"/>
      <c r="S13" s="54"/>
      <c r="T13" s="54">
        <f>VLOOKUP(A13,WLs!$A$4:$J$23,9,FALSE)</f>
        <v>0.6</v>
      </c>
      <c r="U13" s="55">
        <v>0.60921428571428571</v>
      </c>
      <c r="V13" s="55">
        <v>0.01</v>
      </c>
      <c r="W13" s="56" t="s">
        <v>393</v>
      </c>
      <c r="X13" s="55">
        <v>0.7</v>
      </c>
      <c r="Y13" s="54">
        <v>0.62</v>
      </c>
      <c r="Z13" s="74">
        <v>0.63</v>
      </c>
      <c r="AA13" s="54">
        <v>0.56999999999999995</v>
      </c>
      <c r="AB13" s="55">
        <v>0.61635714285714283</v>
      </c>
      <c r="AC13" s="55">
        <f t="shared" si="32"/>
        <v>4.1428571428571149E-4</v>
      </c>
      <c r="AD13" s="61">
        <f t="shared" si="33"/>
        <v>6.4258562396133284E-2</v>
      </c>
      <c r="AE13" s="54">
        <v>0.6</v>
      </c>
      <c r="AF13" s="89" t="s">
        <v>749</v>
      </c>
      <c r="AH13" s="38">
        <f t="shared" si="17"/>
        <v>0.61537142857142846</v>
      </c>
      <c r="AI13" s="39">
        <f t="shared" si="18"/>
        <v>4.1428571428571149E-4</v>
      </c>
      <c r="AJ13" s="39">
        <f t="shared" si="34"/>
        <v>6.4258562396133284E-2</v>
      </c>
      <c r="AK13" s="40">
        <f t="shared" si="19"/>
        <v>7.8571428571429409E-3</v>
      </c>
      <c r="AL13" s="40" t="str">
        <f t="shared" si="20"/>
        <v/>
      </c>
      <c r="AM13" s="40" t="str">
        <f t="shared" si="21"/>
        <v/>
      </c>
      <c r="AN13" s="40">
        <f t="shared" si="22"/>
        <v>-2.5614285714285513E-2</v>
      </c>
      <c r="AO13" s="40" t="str">
        <f t="shared" si="23"/>
        <v/>
      </c>
      <c r="AP13" s="40" t="str">
        <f t="shared" si="24"/>
        <v/>
      </c>
      <c r="AQ13" s="40">
        <f t="shared" si="25"/>
        <v>1.2057142857142988E-2</v>
      </c>
      <c r="AR13" s="40" t="str">
        <f t="shared" si="26"/>
        <v/>
      </c>
      <c r="AS13" s="40" t="str">
        <f t="shared" si="27"/>
        <v/>
      </c>
      <c r="AT13" s="40">
        <f t="shared" si="28"/>
        <v>-3.5571428571427809E-3</v>
      </c>
      <c r="AU13" s="40" t="str">
        <f t="shared" si="29"/>
        <v/>
      </c>
      <c r="AV13" s="40" t="str">
        <f t="shared" si="30"/>
        <v/>
      </c>
      <c r="AW13" s="40">
        <f t="shared" si="31"/>
        <v>9.2571428571429186E-3</v>
      </c>
      <c r="AX13" s="41" t="s">
        <v>165</v>
      </c>
      <c r="AY13" s="42">
        <f>_xlfn.STDEV.S(AK13:AW15)</f>
        <v>4.9359334370304014E-2</v>
      </c>
      <c r="AZ13" s="34">
        <v>10</v>
      </c>
      <c r="BA13" s="34">
        <v>1</v>
      </c>
      <c r="BB13" s="34" t="str">
        <f t="shared" si="35"/>
        <v>Landelijke tussenevaluatie</v>
      </c>
      <c r="BC13" s="34">
        <f t="shared" si="36"/>
        <v>0.63</v>
      </c>
    </row>
    <row r="14" spans="1:55" s="36" customFormat="1" ht="120" customHeight="1" x14ac:dyDescent="0.3">
      <c r="A14" s="53">
        <v>11</v>
      </c>
      <c r="B14" s="53" t="str">
        <f>WLs!C14</f>
        <v>Vaarten hoge afdeling ZOF</v>
      </c>
      <c r="C14" s="35"/>
      <c r="D14" s="35">
        <v>0.72062500000000007</v>
      </c>
      <c r="E14" s="35"/>
      <c r="F14" s="35"/>
      <c r="G14" s="35">
        <v>0.627</v>
      </c>
      <c r="H14" s="35"/>
      <c r="I14" s="35"/>
      <c r="J14" s="35">
        <v>0.62950000000000006</v>
      </c>
      <c r="K14" s="35"/>
      <c r="L14" s="35"/>
      <c r="M14" s="35">
        <v>0.64537500000000003</v>
      </c>
      <c r="N14" s="35"/>
      <c r="O14" s="35"/>
      <c r="P14" s="81">
        <v>0.61</v>
      </c>
      <c r="Q14" s="59" t="s">
        <v>352</v>
      </c>
      <c r="R14" s="59">
        <v>0.61</v>
      </c>
      <c r="S14" s="59">
        <v>0.01</v>
      </c>
      <c r="T14" s="54">
        <f>VLOOKUP(A14,WLs!$A$4:$J$23,9,FALSE)</f>
        <v>0.6</v>
      </c>
      <c r="U14" s="55">
        <v>0.67381250000000004</v>
      </c>
      <c r="V14" s="55">
        <v>0.06</v>
      </c>
      <c r="W14" s="56" t="s">
        <v>394</v>
      </c>
      <c r="X14" s="55">
        <v>0.69</v>
      </c>
      <c r="Y14" s="54">
        <v>0.6</v>
      </c>
      <c r="Z14" s="54">
        <v>0.56999999999999995</v>
      </c>
      <c r="AA14" s="74">
        <v>0.57999999999999996</v>
      </c>
      <c r="AB14" s="55">
        <v>0.6374375000000001</v>
      </c>
      <c r="AC14" s="55">
        <f t="shared" si="32"/>
        <v>-7.4416666666666685E-3</v>
      </c>
      <c r="AD14" s="61">
        <f t="shared" si="33"/>
        <v>0.74902860744328459</v>
      </c>
      <c r="AE14" s="54">
        <v>0.6</v>
      </c>
      <c r="AF14" s="59" t="s">
        <v>748</v>
      </c>
      <c r="AH14" s="38">
        <f t="shared" si="17"/>
        <v>0.65562500000000001</v>
      </c>
      <c r="AI14" s="39">
        <f t="shared" si="18"/>
        <v>-7.4416666666666685E-3</v>
      </c>
      <c r="AJ14" s="39">
        <f t="shared" si="34"/>
        <v>0.74902860744328459</v>
      </c>
      <c r="AK14" s="40" t="str">
        <f t="shared" si="19"/>
        <v/>
      </c>
      <c r="AL14" s="40">
        <f t="shared" si="20"/>
        <v>0.1022083333333334</v>
      </c>
      <c r="AM14" s="40" t="str">
        <f t="shared" si="21"/>
        <v/>
      </c>
      <c r="AN14" s="40" t="str">
        <f t="shared" si="22"/>
        <v/>
      </c>
      <c r="AO14" s="40">
        <f t="shared" si="23"/>
        <v>-1.3741666666666675E-2</v>
      </c>
      <c r="AP14" s="40" t="str">
        <f t="shared" si="24"/>
        <v/>
      </c>
      <c r="AQ14" s="40" t="str">
        <f t="shared" si="25"/>
        <v/>
      </c>
      <c r="AR14" s="40">
        <f t="shared" si="26"/>
        <v>-3.356666666666662E-2</v>
      </c>
      <c r="AS14" s="40" t="str">
        <f t="shared" si="27"/>
        <v/>
      </c>
      <c r="AT14" s="40" t="str">
        <f t="shared" si="28"/>
        <v/>
      </c>
      <c r="AU14" s="40">
        <f t="shared" si="29"/>
        <v>-4.0016666666666659E-2</v>
      </c>
      <c r="AV14" s="40" t="str">
        <f t="shared" si="30"/>
        <v/>
      </c>
      <c r="AW14" s="40" t="str">
        <f t="shared" si="31"/>
        <v/>
      </c>
      <c r="AX14" s="45" t="s">
        <v>165</v>
      </c>
      <c r="AY14" s="44">
        <f>AY13</f>
        <v>4.9359334370304014E-2</v>
      </c>
      <c r="AZ14" s="34">
        <v>11</v>
      </c>
      <c r="BA14" s="34">
        <v>2</v>
      </c>
      <c r="BB14" s="34" t="str">
        <f t="shared" si="35"/>
        <v>Berekening met concentratie nutriënten gelijk aan norm</v>
      </c>
      <c r="BC14" s="34">
        <f t="shared" si="36"/>
        <v>0.57999999999999996</v>
      </c>
    </row>
    <row r="15" spans="1:55" s="36" customFormat="1" ht="105" customHeight="1" x14ac:dyDescent="0.3">
      <c r="A15" s="53">
        <v>12</v>
      </c>
      <c r="B15" s="53" t="str">
        <f>WLs!C15</f>
        <v>Vaarten lage afdeling ZOF</v>
      </c>
      <c r="C15" s="35"/>
      <c r="D15" s="35"/>
      <c r="E15" s="35">
        <v>0.56599999999999995</v>
      </c>
      <c r="F15" s="35"/>
      <c r="G15" s="35"/>
      <c r="H15" s="35">
        <v>0.48981818181818182</v>
      </c>
      <c r="I15" s="35"/>
      <c r="J15" s="35"/>
      <c r="K15" s="35">
        <v>0.46500000000000008</v>
      </c>
      <c r="L15" s="35"/>
      <c r="M15" s="35"/>
      <c r="N15" s="35">
        <v>0.6088181818181817</v>
      </c>
      <c r="O15" s="35"/>
      <c r="P15" s="81">
        <v>0.51</v>
      </c>
      <c r="Q15" s="59" t="s">
        <v>354</v>
      </c>
      <c r="R15" s="54">
        <v>0.55000000000000004</v>
      </c>
      <c r="S15" s="54">
        <v>-0.05</v>
      </c>
      <c r="T15" s="54">
        <f>VLOOKUP(A15,WLs!$A$4:$J$23,9,FALSE)</f>
        <v>0.5</v>
      </c>
      <c r="U15" s="55">
        <v>0.52790909090909088</v>
      </c>
      <c r="V15" s="55">
        <v>0.02</v>
      </c>
      <c r="W15" s="56" t="s">
        <v>395</v>
      </c>
      <c r="X15" s="55">
        <v>0.56999999999999995</v>
      </c>
      <c r="Y15" s="54">
        <v>0.48</v>
      </c>
      <c r="Z15" s="74">
        <v>0.48</v>
      </c>
      <c r="AA15" s="54">
        <v>0.46</v>
      </c>
      <c r="AB15" s="55">
        <v>0.53700000000000003</v>
      </c>
      <c r="AC15" s="55">
        <f t="shared" si="32"/>
        <v>3.454545454545451E-3</v>
      </c>
      <c r="AD15" s="61">
        <f t="shared" si="33"/>
        <v>0.14382271161587523</v>
      </c>
      <c r="AE15" s="54">
        <v>0.54</v>
      </c>
      <c r="AF15" s="89" t="s">
        <v>747</v>
      </c>
      <c r="AH15" s="38">
        <f t="shared" si="17"/>
        <v>0.53240909090909083</v>
      </c>
      <c r="AI15" s="39">
        <f t="shared" si="18"/>
        <v>3.454545454545451E-3</v>
      </c>
      <c r="AJ15" s="39">
        <f t="shared" si="34"/>
        <v>0.14382271161587523</v>
      </c>
      <c r="AK15" s="40" t="str">
        <f t="shared" si="19"/>
        <v/>
      </c>
      <c r="AL15" s="40" t="str">
        <f t="shared" si="20"/>
        <v/>
      </c>
      <c r="AM15" s="40">
        <f t="shared" si="21"/>
        <v>1.977272727272731E-2</v>
      </c>
      <c r="AN15" s="40" t="str">
        <f t="shared" si="22"/>
        <v/>
      </c>
      <c r="AO15" s="40" t="str">
        <f t="shared" si="23"/>
        <v/>
      </c>
      <c r="AP15" s="40">
        <f t="shared" si="24"/>
        <v>-4.6045454545454466E-2</v>
      </c>
      <c r="AQ15" s="40" t="str">
        <f t="shared" si="25"/>
        <v/>
      </c>
      <c r="AR15" s="40" t="str">
        <f t="shared" si="26"/>
        <v/>
      </c>
      <c r="AS15" s="40">
        <f t="shared" si="27"/>
        <v>-6.0499999999999853E-2</v>
      </c>
      <c r="AT15" s="40" t="str">
        <f t="shared" si="28"/>
        <v/>
      </c>
      <c r="AU15" s="40" t="str">
        <f t="shared" si="29"/>
        <v/>
      </c>
      <c r="AV15" s="40">
        <f t="shared" si="30"/>
        <v>9.368181818181813E-2</v>
      </c>
      <c r="AW15" s="40" t="str">
        <f t="shared" si="31"/>
        <v/>
      </c>
      <c r="AX15" s="45" t="s">
        <v>165</v>
      </c>
      <c r="AY15" s="44">
        <f>AY14</f>
        <v>4.9359334370304014E-2</v>
      </c>
      <c r="AZ15" s="34">
        <v>12</v>
      </c>
      <c r="BA15" s="34">
        <v>1</v>
      </c>
      <c r="BB15" s="34" t="str">
        <f t="shared" si="35"/>
        <v>Landelijke tussenevaluatie</v>
      </c>
      <c r="BC15" s="34">
        <f t="shared" si="36"/>
        <v>0.48</v>
      </c>
    </row>
    <row r="16" spans="1:55" s="36" customFormat="1" ht="74.55" customHeight="1" x14ac:dyDescent="0.3">
      <c r="A16" s="53">
        <v>13</v>
      </c>
      <c r="B16" s="53" t="str">
        <f>WLs!C16</f>
        <v>Bovenwater</v>
      </c>
      <c r="C16" s="35"/>
      <c r="D16" s="35">
        <v>0.48399999999999999</v>
      </c>
      <c r="E16" s="35"/>
      <c r="F16" s="35"/>
      <c r="G16" s="35">
        <v>0.38800000000000001</v>
      </c>
      <c r="H16" s="35"/>
      <c r="I16" s="35"/>
      <c r="J16" s="35">
        <v>0.45650000000000002</v>
      </c>
      <c r="K16" s="35"/>
      <c r="L16" s="35"/>
      <c r="M16" s="35">
        <v>0.37349999999999994</v>
      </c>
      <c r="N16" s="35"/>
      <c r="O16" s="35"/>
      <c r="P16" s="54">
        <v>0.44</v>
      </c>
      <c r="Q16" s="59" t="s">
        <v>337</v>
      </c>
      <c r="R16" s="54">
        <v>0.44</v>
      </c>
      <c r="S16" s="54">
        <v>-0.04</v>
      </c>
      <c r="T16" s="54">
        <f>VLOOKUP(A16,WLs!$A$4:$J$23,9,FALSE)</f>
        <v>0.4</v>
      </c>
      <c r="U16" s="55">
        <v>0.436</v>
      </c>
      <c r="V16" s="55">
        <v>2.0000000000000018E-3</v>
      </c>
      <c r="W16" s="56" t="s">
        <v>305</v>
      </c>
      <c r="X16" s="55">
        <v>0.44</v>
      </c>
      <c r="Y16" s="54">
        <v>0.44</v>
      </c>
      <c r="Z16" s="54">
        <v>0.44</v>
      </c>
      <c r="AA16" s="74">
        <v>0.43</v>
      </c>
      <c r="AB16" s="55">
        <v>0.41549999999999998</v>
      </c>
      <c r="AC16" s="55">
        <f t="shared" si="32"/>
        <v>-8.7666666666666709E-3</v>
      </c>
      <c r="AD16" s="61">
        <f t="shared" si="33"/>
        <v>0.73315543872573041</v>
      </c>
      <c r="AE16" s="54">
        <v>0.41</v>
      </c>
      <c r="AF16" s="59" t="s">
        <v>396</v>
      </c>
      <c r="AH16" s="38">
        <f t="shared" si="17"/>
        <v>0.42549999999999999</v>
      </c>
      <c r="AI16" s="39">
        <f t="shared" si="18"/>
        <v>-8.7666666666666709E-3</v>
      </c>
      <c r="AJ16" s="39">
        <f t="shared" si="34"/>
        <v>0.73315543872573041</v>
      </c>
      <c r="AK16" s="40" t="str">
        <f t="shared" si="19"/>
        <v/>
      </c>
      <c r="AL16" s="40">
        <f t="shared" si="20"/>
        <v>0.10233333333333336</v>
      </c>
      <c r="AM16" s="40" t="str">
        <f t="shared" si="21"/>
        <v/>
      </c>
      <c r="AN16" s="40" t="str">
        <f t="shared" si="22"/>
        <v/>
      </c>
      <c r="AO16" s="40">
        <f t="shared" si="23"/>
        <v>-1.9966666666666636E-2</v>
      </c>
      <c r="AP16" s="40" t="str">
        <f t="shared" si="24"/>
        <v/>
      </c>
      <c r="AQ16" s="40" t="str">
        <f t="shared" si="25"/>
        <v/>
      </c>
      <c r="AR16" s="40">
        <f t="shared" si="26"/>
        <v>2.2233333333333355E-2</v>
      </c>
      <c r="AS16" s="40" t="str">
        <f t="shared" si="27"/>
        <v/>
      </c>
      <c r="AT16" s="40" t="str">
        <f t="shared" si="28"/>
        <v/>
      </c>
      <c r="AU16" s="40">
        <f t="shared" si="29"/>
        <v>-8.7066666666666737E-2</v>
      </c>
      <c r="AV16" s="40" t="str">
        <f t="shared" si="30"/>
        <v/>
      </c>
      <c r="AW16" s="40" t="str">
        <f t="shared" si="31"/>
        <v/>
      </c>
      <c r="AX16" s="41" t="s">
        <v>166</v>
      </c>
      <c r="AY16" s="42">
        <f>_xlfn.STDEV.S(AK16:AW19,AK21:AW22)</f>
        <v>5.2344461541066749E-2</v>
      </c>
      <c r="AZ16" s="34">
        <v>13</v>
      </c>
      <c r="BA16" s="34">
        <v>2</v>
      </c>
      <c r="BB16" s="34" t="str">
        <f t="shared" si="35"/>
        <v>Berekening met concentratie nutriënten gelijk aan norm</v>
      </c>
      <c r="BC16" s="34">
        <f t="shared" si="36"/>
        <v>0.43</v>
      </c>
    </row>
    <row r="17" spans="1:55" s="36" customFormat="1" ht="63.6" customHeight="1" x14ac:dyDescent="0.3">
      <c r="A17" s="53">
        <v>14</v>
      </c>
      <c r="B17" s="53" t="str">
        <f>WLs!C17</f>
        <v>Harderbroek (oude deel)</v>
      </c>
      <c r="C17" s="35">
        <v>0.42199999999999999</v>
      </c>
      <c r="D17" s="35"/>
      <c r="E17" s="35"/>
      <c r="F17" s="35">
        <v>0.42099999999999999</v>
      </c>
      <c r="G17" s="35"/>
      <c r="H17" s="35"/>
      <c r="I17" s="35">
        <v>0.36399999999999999</v>
      </c>
      <c r="J17" s="35"/>
      <c r="K17" s="35"/>
      <c r="L17" s="35">
        <v>0.377</v>
      </c>
      <c r="M17" s="35"/>
      <c r="N17" s="35"/>
      <c r="O17" s="35">
        <v>0.30299999999999999</v>
      </c>
      <c r="P17" s="54">
        <v>0.43</v>
      </c>
      <c r="Q17" s="59" t="s">
        <v>356</v>
      </c>
      <c r="R17" s="54"/>
      <c r="S17" s="54"/>
      <c r="T17" s="54">
        <f>VLOOKUP(A17,WLs!$A$4:$J$23,9,FALSE)</f>
        <v>0.4</v>
      </c>
      <c r="U17" s="55">
        <v>0.39250000000000002</v>
      </c>
      <c r="V17" s="55">
        <v>-3.7499999999999978E-2</v>
      </c>
      <c r="W17" s="56" t="s">
        <v>397</v>
      </c>
      <c r="X17" s="55">
        <v>0.4</v>
      </c>
      <c r="Y17" s="54">
        <v>0.38</v>
      </c>
      <c r="Z17" s="54">
        <v>0.39</v>
      </c>
      <c r="AA17" s="74">
        <v>0.51</v>
      </c>
      <c r="AB17" s="55"/>
      <c r="AC17" s="55">
        <f t="shared" si="32"/>
        <v>0</v>
      </c>
      <c r="AD17" s="61">
        <f t="shared" si="33"/>
        <v>0.82792653979094633</v>
      </c>
      <c r="AE17" s="54">
        <v>0.4</v>
      </c>
      <c r="AF17" s="59" t="s">
        <v>313</v>
      </c>
      <c r="AH17" s="38">
        <f t="shared" si="17"/>
        <v>0.37739999999999996</v>
      </c>
      <c r="AI17" s="39"/>
      <c r="AJ17" s="39">
        <f t="shared" si="34"/>
        <v>0.82792653979094633</v>
      </c>
      <c r="AK17" s="40">
        <f t="shared" si="19"/>
        <v>4.4600000000000029E-2</v>
      </c>
      <c r="AL17" s="40" t="str">
        <f t="shared" si="20"/>
        <v/>
      </c>
      <c r="AM17" s="40" t="str">
        <f t="shared" si="21"/>
        <v/>
      </c>
      <c r="AN17" s="40">
        <f t="shared" si="22"/>
        <v>4.3600000000000028E-2</v>
      </c>
      <c r="AO17" s="40" t="str">
        <f t="shared" si="23"/>
        <v/>
      </c>
      <c r="AP17" s="40" t="str">
        <f t="shared" si="24"/>
        <v/>
      </c>
      <c r="AQ17" s="40">
        <f t="shared" si="25"/>
        <v>-1.3399999999999967E-2</v>
      </c>
      <c r="AR17" s="40" t="str">
        <f t="shared" si="26"/>
        <v/>
      </c>
      <c r="AS17" s="40" t="str">
        <f t="shared" si="27"/>
        <v/>
      </c>
      <c r="AT17" s="40">
        <f t="shared" si="28"/>
        <v>-3.9999999999995595E-4</v>
      </c>
      <c r="AU17" s="40" t="str">
        <f t="shared" si="29"/>
        <v/>
      </c>
      <c r="AV17" s="40" t="str">
        <f t="shared" si="30"/>
        <v/>
      </c>
      <c r="AW17" s="40">
        <f t="shared" si="31"/>
        <v>-7.4399999999999966E-2</v>
      </c>
      <c r="AX17" s="45" t="s">
        <v>166</v>
      </c>
      <c r="AY17" s="44">
        <f>AY16</f>
        <v>5.2344461541066749E-2</v>
      </c>
      <c r="AZ17" s="34">
        <v>14</v>
      </c>
      <c r="BA17" s="34">
        <v>2</v>
      </c>
      <c r="BB17" s="34" t="str">
        <f t="shared" si="35"/>
        <v>Berekening met concentratie nutriënten gelijk aan norm</v>
      </c>
      <c r="BC17" s="34">
        <f t="shared" si="36"/>
        <v>0.51</v>
      </c>
    </row>
    <row r="18" spans="1:55" s="36" customFormat="1" ht="68.099999999999994" customHeight="1" x14ac:dyDescent="0.3">
      <c r="A18" s="53">
        <v>15</v>
      </c>
      <c r="B18" s="53" t="str">
        <f>WLs!C18</f>
        <v>Harderbroek Roerdomp</v>
      </c>
      <c r="C18" s="35">
        <v>0.39300000000000002</v>
      </c>
      <c r="D18" s="35"/>
      <c r="E18" s="35"/>
      <c r="F18" s="35">
        <v>0.33800000000000002</v>
      </c>
      <c r="G18" s="35"/>
      <c r="H18" s="35"/>
      <c r="I18" s="35">
        <v>0.245</v>
      </c>
      <c r="J18" s="35"/>
      <c r="K18" s="35"/>
      <c r="L18" s="35">
        <v>0.40899999999999997</v>
      </c>
      <c r="M18" s="35"/>
      <c r="N18" s="35"/>
      <c r="O18" s="35">
        <v>0.29099999999999998</v>
      </c>
      <c r="P18" s="54">
        <v>0.32</v>
      </c>
      <c r="Q18" s="59" t="s">
        <v>305</v>
      </c>
      <c r="R18" s="54">
        <v>0.32</v>
      </c>
      <c r="S18" s="54">
        <v>-0.02</v>
      </c>
      <c r="T18" s="54">
        <f>VLOOKUP(A18,WLs!$A$4:$J$23,9,FALSE)</f>
        <v>0.3</v>
      </c>
      <c r="U18" s="55">
        <v>0.29149999999999998</v>
      </c>
      <c r="V18" s="55">
        <v>-2.8500000000000025E-2</v>
      </c>
      <c r="W18" s="56" t="s">
        <v>314</v>
      </c>
      <c r="X18" s="55">
        <v>0.28999999999999998</v>
      </c>
      <c r="Y18" s="54">
        <v>0.34</v>
      </c>
      <c r="Z18" s="54">
        <v>0.34</v>
      </c>
      <c r="AA18" s="74">
        <v>0.24</v>
      </c>
      <c r="AB18" s="55">
        <v>0.35</v>
      </c>
      <c r="AC18" s="55">
        <f t="shared" si="32"/>
        <v>-4.4333333333333369E-3</v>
      </c>
      <c r="AD18" s="61">
        <f t="shared" si="33"/>
        <v>0.29248289688526996</v>
      </c>
      <c r="AE18" s="54">
        <v>0.3</v>
      </c>
      <c r="AF18" s="59" t="s">
        <v>398</v>
      </c>
      <c r="AH18" s="38">
        <f t="shared" si="17"/>
        <v>0.3352</v>
      </c>
      <c r="AI18" s="39">
        <f>SLOPE(C18:O18,C$3:O$3)</f>
        <v>-4.4333333333333369E-3</v>
      </c>
      <c r="AJ18" s="39">
        <f t="shared" si="34"/>
        <v>0.29248289688526996</v>
      </c>
      <c r="AK18" s="40">
        <f t="shared" si="19"/>
        <v>8.4400000000000031E-2</v>
      </c>
      <c r="AL18" s="40" t="str">
        <f t="shared" si="20"/>
        <v/>
      </c>
      <c r="AM18" s="40" t="str">
        <f t="shared" si="21"/>
        <v/>
      </c>
      <c r="AN18" s="40">
        <f t="shared" si="22"/>
        <v>1.6100000000000034E-2</v>
      </c>
      <c r="AO18" s="40" t="str">
        <f t="shared" si="23"/>
        <v/>
      </c>
      <c r="AP18" s="40" t="str">
        <f t="shared" si="24"/>
        <v/>
      </c>
      <c r="AQ18" s="40">
        <f t="shared" si="25"/>
        <v>-9.0200000000000002E-2</v>
      </c>
      <c r="AR18" s="40" t="str">
        <f t="shared" si="26"/>
        <v/>
      </c>
      <c r="AS18" s="40" t="str">
        <f t="shared" si="27"/>
        <v/>
      </c>
      <c r="AT18" s="40">
        <f t="shared" si="28"/>
        <v>6.049999999999997E-2</v>
      </c>
      <c r="AU18" s="40" t="str">
        <f t="shared" si="29"/>
        <v/>
      </c>
      <c r="AV18" s="40" t="str">
        <f t="shared" si="30"/>
        <v/>
      </c>
      <c r="AW18" s="40">
        <f t="shared" si="31"/>
        <v>-7.080000000000003E-2</v>
      </c>
      <c r="AX18" s="45" t="s">
        <v>166</v>
      </c>
      <c r="AY18" s="44">
        <f t="shared" ref="AY18:AY19" si="39">AY17</f>
        <v>5.2344461541066749E-2</v>
      </c>
      <c r="AZ18" s="34">
        <v>15</v>
      </c>
      <c r="BA18" s="34">
        <v>2</v>
      </c>
      <c r="BB18" s="34" t="str">
        <f t="shared" si="35"/>
        <v>Berekening met concentratie nutriënten gelijk aan norm</v>
      </c>
      <c r="BC18" s="34">
        <f t="shared" si="36"/>
        <v>0.24</v>
      </c>
    </row>
    <row r="19" spans="1:55" s="36" customFormat="1" ht="62.55" customHeight="1" x14ac:dyDescent="0.3">
      <c r="A19" s="53">
        <v>16</v>
      </c>
      <c r="B19" s="53" t="str">
        <f>WLs!C19</f>
        <v>Lepelaarplassen</v>
      </c>
      <c r="C19" s="35"/>
      <c r="D19" s="35"/>
      <c r="E19" s="35">
        <v>0.442</v>
      </c>
      <c r="F19" s="35"/>
      <c r="G19" s="35"/>
      <c r="H19" s="35">
        <v>0.41099999999999998</v>
      </c>
      <c r="I19" s="35"/>
      <c r="J19" s="35">
        <v>0.41633333333333328</v>
      </c>
      <c r="K19" s="35"/>
      <c r="L19" s="35"/>
      <c r="M19" s="35"/>
      <c r="N19" s="35">
        <v>0.43233333333333329</v>
      </c>
      <c r="O19" s="35"/>
      <c r="P19" s="81" t="s">
        <v>399</v>
      </c>
      <c r="Q19" s="59" t="s">
        <v>305</v>
      </c>
      <c r="R19" s="54"/>
      <c r="S19" s="54"/>
      <c r="T19" s="54">
        <f>VLOOKUP(A19,WLs!$A$4:$J$23,9,FALSE)</f>
        <v>0.4</v>
      </c>
      <c r="U19" s="55">
        <v>0.41599999999999998</v>
      </c>
      <c r="V19" s="55">
        <v>1.5999999999999959E-2</v>
      </c>
      <c r="W19" s="56" t="s">
        <v>400</v>
      </c>
      <c r="X19" s="55">
        <v>0.44</v>
      </c>
      <c r="Y19" s="54">
        <v>0.42</v>
      </c>
      <c r="Z19" s="74">
        <v>0.43</v>
      </c>
      <c r="AA19" s="54">
        <v>0.33</v>
      </c>
      <c r="AB19" s="55">
        <v>0.42399999999999999</v>
      </c>
      <c r="AC19" s="55">
        <f t="shared" si="32"/>
        <v>0</v>
      </c>
      <c r="AD19" s="61">
        <f t="shared" si="33"/>
        <v>2.6620836727530836E-2</v>
      </c>
      <c r="AE19" s="54">
        <v>0.4</v>
      </c>
      <c r="AF19" s="59" t="s">
        <v>318</v>
      </c>
      <c r="AH19" s="38">
        <f t="shared" si="17"/>
        <v>0.42541666666666661</v>
      </c>
      <c r="AI19" s="39"/>
      <c r="AJ19" s="39">
        <f t="shared" si="34"/>
        <v>2.6620836727530836E-2</v>
      </c>
      <c r="AK19" s="40" t="str">
        <f t="shared" si="19"/>
        <v/>
      </c>
      <c r="AL19" s="40" t="str">
        <f t="shared" si="20"/>
        <v/>
      </c>
      <c r="AM19" s="40">
        <f t="shared" si="21"/>
        <v>1.6583333333333394E-2</v>
      </c>
      <c r="AN19" s="40" t="str">
        <f t="shared" si="22"/>
        <v/>
      </c>
      <c r="AO19" s="40" t="str">
        <f t="shared" si="23"/>
        <v/>
      </c>
      <c r="AP19" s="40">
        <f t="shared" si="24"/>
        <v>-1.4416666666666633E-2</v>
      </c>
      <c r="AQ19" s="40" t="str">
        <f t="shared" si="25"/>
        <v/>
      </c>
      <c r="AR19" s="40">
        <f t="shared" si="26"/>
        <v>-9.0833333333333321E-3</v>
      </c>
      <c r="AS19" s="40" t="str">
        <f t="shared" si="27"/>
        <v/>
      </c>
      <c r="AT19" s="40" t="str">
        <f t="shared" si="28"/>
        <v/>
      </c>
      <c r="AU19" s="40" t="str">
        <f t="shared" si="29"/>
        <v/>
      </c>
      <c r="AV19" s="40">
        <f t="shared" si="30"/>
        <v>6.9166666666666821E-3</v>
      </c>
      <c r="AW19" s="40" t="str">
        <f t="shared" si="31"/>
        <v/>
      </c>
      <c r="AX19" s="45" t="s">
        <v>166</v>
      </c>
      <c r="AY19" s="44">
        <f t="shared" si="39"/>
        <v>5.2344461541066749E-2</v>
      </c>
      <c r="AZ19" s="34">
        <v>16</v>
      </c>
      <c r="BA19" s="34">
        <v>1</v>
      </c>
      <c r="BB19" s="34" t="str">
        <f t="shared" si="35"/>
        <v>Landelijke tussenevaluatie</v>
      </c>
      <c r="BC19" s="34">
        <f t="shared" si="36"/>
        <v>0.43</v>
      </c>
    </row>
    <row r="20" spans="1:55" s="36" customFormat="1" ht="78.599999999999994" customHeight="1" x14ac:dyDescent="0.3">
      <c r="A20" s="53">
        <v>17</v>
      </c>
      <c r="B20" s="53" t="str">
        <f>WLs!C20</f>
        <v>Noorderplassen</v>
      </c>
      <c r="C20" s="35"/>
      <c r="D20" s="35"/>
      <c r="E20" s="35">
        <v>0.46799999999999997</v>
      </c>
      <c r="F20" s="35"/>
      <c r="G20" s="35"/>
      <c r="H20" s="35">
        <v>0.35599999999999998</v>
      </c>
      <c r="I20" s="35"/>
      <c r="J20" s="35"/>
      <c r="K20" s="35">
        <v>0.40500000000000003</v>
      </c>
      <c r="L20" s="35"/>
      <c r="M20" s="35"/>
      <c r="N20" s="35">
        <v>0.44</v>
      </c>
      <c r="O20" s="35"/>
      <c r="P20" s="54">
        <v>0.41</v>
      </c>
      <c r="Q20" s="54" t="s">
        <v>360</v>
      </c>
      <c r="R20" s="54"/>
      <c r="S20" s="54"/>
      <c r="T20" s="54">
        <f>VLOOKUP(A20,WLs!$A$4:$J$23,9,FALSE)</f>
        <v>0.45</v>
      </c>
      <c r="U20" s="55">
        <v>0.41199999999999998</v>
      </c>
      <c r="V20" s="55">
        <v>2.0000000000000018E-3</v>
      </c>
      <c r="W20" s="56" t="s">
        <v>401</v>
      </c>
      <c r="X20" s="55">
        <v>0.43</v>
      </c>
      <c r="Y20" s="54">
        <v>0.38</v>
      </c>
      <c r="Z20" s="74">
        <v>0.38</v>
      </c>
      <c r="AA20" s="54">
        <v>0.37</v>
      </c>
      <c r="AB20" s="55">
        <v>0.42549999999999999</v>
      </c>
      <c r="AC20" s="55">
        <f t="shared" si="32"/>
        <v>-1.1666666666666622E-3</v>
      </c>
      <c r="AD20" s="61">
        <f t="shared" si="33"/>
        <v>3.412969283276427E-2</v>
      </c>
      <c r="AE20" s="54">
        <v>0.4</v>
      </c>
      <c r="AF20" s="59" t="s">
        <v>402</v>
      </c>
      <c r="AH20" s="38">
        <f t="shared" si="17"/>
        <v>0.41725000000000001</v>
      </c>
      <c r="AI20" s="39">
        <f>SLOPE(C20:O20,C$3:O$3)</f>
        <v>-1.1666666666666622E-3</v>
      </c>
      <c r="AJ20" s="39">
        <f t="shared" si="34"/>
        <v>3.412969283276427E-2</v>
      </c>
      <c r="AK20" s="40" t="str">
        <f t="shared" si="19"/>
        <v/>
      </c>
      <c r="AL20" s="40" t="str">
        <f t="shared" si="20"/>
        <v/>
      </c>
      <c r="AM20" s="40">
        <f t="shared" si="21"/>
        <v>5.5416666666666614E-2</v>
      </c>
      <c r="AN20" s="40" t="str">
        <f t="shared" si="22"/>
        <v/>
      </c>
      <c r="AO20" s="40" t="str">
        <f t="shared" si="23"/>
        <v/>
      </c>
      <c r="AP20" s="40">
        <f t="shared" si="24"/>
        <v>-6.0083333333333364E-2</v>
      </c>
      <c r="AQ20" s="40" t="str">
        <f t="shared" si="25"/>
        <v/>
      </c>
      <c r="AR20" s="40" t="str">
        <f t="shared" si="26"/>
        <v/>
      </c>
      <c r="AS20" s="40">
        <f t="shared" si="27"/>
        <v>-1.4583333333333308E-2</v>
      </c>
      <c r="AT20" s="40" t="str">
        <f t="shared" si="28"/>
        <v/>
      </c>
      <c r="AU20" s="40" t="str">
        <f t="shared" si="29"/>
        <v/>
      </c>
      <c r="AV20" s="40">
        <f t="shared" si="30"/>
        <v>1.6916666666666681E-2</v>
      </c>
      <c r="AW20" s="40" t="str">
        <f t="shared" si="31"/>
        <v/>
      </c>
      <c r="AX20" s="41" t="s">
        <v>167</v>
      </c>
      <c r="AY20" s="42">
        <f>_xlfn.STDEV.S(AK20:AW20,AK23:AW23)</f>
        <v>5.3509059646808584E-2</v>
      </c>
      <c r="AZ20" s="34">
        <v>17</v>
      </c>
      <c r="BA20" s="34">
        <v>1</v>
      </c>
      <c r="BB20" s="34" t="str">
        <f t="shared" si="35"/>
        <v>Landelijke tussenevaluatie</v>
      </c>
      <c r="BC20" s="34">
        <f t="shared" si="36"/>
        <v>0.38</v>
      </c>
    </row>
    <row r="21" spans="1:55" s="36" customFormat="1" ht="113.55" customHeight="1" x14ac:dyDescent="0.3">
      <c r="A21" s="53">
        <v>18</v>
      </c>
      <c r="B21" s="53" t="str">
        <f>WLs!C21</f>
        <v>Oostvaardersplassen</v>
      </c>
      <c r="C21" s="35">
        <v>0.34850000000000003</v>
      </c>
      <c r="D21" s="35"/>
      <c r="E21" s="35"/>
      <c r="F21" s="35">
        <v>0.35749999999999998</v>
      </c>
      <c r="G21" s="35"/>
      <c r="H21" s="35"/>
      <c r="I21" s="35">
        <v>0.29849999999999999</v>
      </c>
      <c r="J21" s="35"/>
      <c r="K21" s="35"/>
      <c r="L21" s="35">
        <v>0.27949999999999997</v>
      </c>
      <c r="M21" s="35"/>
      <c r="N21" s="35"/>
      <c r="O21" s="35">
        <v>0.28450000000000003</v>
      </c>
      <c r="P21" s="81" t="s">
        <v>403</v>
      </c>
      <c r="Q21" s="59" t="s">
        <v>305</v>
      </c>
      <c r="R21" s="54">
        <v>0.32</v>
      </c>
      <c r="S21" s="54">
        <v>-0.02</v>
      </c>
      <c r="T21" s="54">
        <f>VLOOKUP(A21,WLs!$A$4:$J$23,9,FALSE)</f>
        <v>0.3</v>
      </c>
      <c r="U21" s="55">
        <v>0.32850000000000001</v>
      </c>
      <c r="V21" s="55">
        <v>8.5000000000000075E-3</v>
      </c>
      <c r="W21" s="56" t="s">
        <v>320</v>
      </c>
      <c r="X21" s="55">
        <v>0.33</v>
      </c>
      <c r="Y21" s="54">
        <v>0.28999999999999998</v>
      </c>
      <c r="Z21" s="74">
        <v>0.3</v>
      </c>
      <c r="AA21" s="54">
        <v>0.25</v>
      </c>
      <c r="AB21" s="55">
        <v>0.28199999999999997</v>
      </c>
      <c r="AC21" s="55">
        <f t="shared" si="32"/>
        <v>0</v>
      </c>
      <c r="AD21" s="61">
        <f t="shared" si="33"/>
        <v>0.78836293378910605</v>
      </c>
      <c r="AE21" s="54">
        <v>0.3</v>
      </c>
      <c r="AF21" s="59" t="s">
        <v>321</v>
      </c>
      <c r="AH21" s="38">
        <f t="shared" si="17"/>
        <v>0.31369999999999998</v>
      </c>
      <c r="AI21" s="39"/>
      <c r="AJ21" s="39">
        <f t="shared" si="34"/>
        <v>0.78836293378910605</v>
      </c>
      <c r="AK21" s="40">
        <f t="shared" si="19"/>
        <v>3.4800000000000053E-2</v>
      </c>
      <c r="AL21" s="40" t="str">
        <f t="shared" si="20"/>
        <v/>
      </c>
      <c r="AM21" s="40" t="str">
        <f t="shared" si="21"/>
        <v/>
      </c>
      <c r="AN21" s="40">
        <f t="shared" si="22"/>
        <v>4.3800000000000006E-2</v>
      </c>
      <c r="AO21" s="40" t="str">
        <f t="shared" si="23"/>
        <v/>
      </c>
      <c r="AP21" s="40" t="str">
        <f t="shared" si="24"/>
        <v/>
      </c>
      <c r="AQ21" s="40">
        <f t="shared" si="25"/>
        <v>-1.5199999999999991E-2</v>
      </c>
      <c r="AR21" s="40" t="str">
        <f t="shared" si="26"/>
        <v/>
      </c>
      <c r="AS21" s="40" t="str">
        <f t="shared" si="27"/>
        <v/>
      </c>
      <c r="AT21" s="40">
        <f t="shared" si="28"/>
        <v>-3.4200000000000008E-2</v>
      </c>
      <c r="AU21" s="40" t="str">
        <f t="shared" si="29"/>
        <v/>
      </c>
      <c r="AV21" s="40" t="str">
        <f t="shared" si="30"/>
        <v/>
      </c>
      <c r="AW21" s="40">
        <f t="shared" si="31"/>
        <v>-2.9199999999999948E-2</v>
      </c>
      <c r="AX21" s="45" t="s">
        <v>166</v>
      </c>
      <c r="AY21" s="44">
        <f>AY19</f>
        <v>5.2344461541066749E-2</v>
      </c>
      <c r="AZ21" s="34">
        <v>18</v>
      </c>
      <c r="BA21" s="34">
        <v>1</v>
      </c>
      <c r="BB21" s="34" t="str">
        <f t="shared" si="35"/>
        <v>Landelijke tussenevaluatie</v>
      </c>
      <c r="BC21" s="34">
        <f t="shared" si="36"/>
        <v>0.3</v>
      </c>
    </row>
    <row r="22" spans="1:55" s="36" customFormat="1" ht="94.5" customHeight="1" x14ac:dyDescent="0.3">
      <c r="A22" s="53">
        <v>19</v>
      </c>
      <c r="B22" s="53" t="str">
        <f>WLs!C22</f>
        <v>Vollenhover- en Kadoelermeer</v>
      </c>
      <c r="C22" s="35"/>
      <c r="D22" s="35">
        <v>0.41475000000000006</v>
      </c>
      <c r="E22" s="35"/>
      <c r="F22" s="35"/>
      <c r="G22" s="35">
        <v>0.43049999999999999</v>
      </c>
      <c r="H22" s="35"/>
      <c r="I22" s="35"/>
      <c r="J22" s="35">
        <v>0.43924999999999997</v>
      </c>
      <c r="K22" s="35"/>
      <c r="L22" s="35"/>
      <c r="M22" s="35">
        <v>0.49324999999999991</v>
      </c>
      <c r="N22" s="35"/>
      <c r="O22" s="35"/>
      <c r="P22" s="54">
        <v>0.44</v>
      </c>
      <c r="Q22" s="59" t="s">
        <v>305</v>
      </c>
      <c r="R22" s="54">
        <v>0.44</v>
      </c>
      <c r="S22" s="54">
        <v>-0.04</v>
      </c>
      <c r="T22" s="54">
        <f>VLOOKUP(A22,WLs!$A$4:$J$23,9,FALSE)</f>
        <v>0.4</v>
      </c>
      <c r="U22" s="55">
        <v>0.42299999999999999</v>
      </c>
      <c r="V22" s="55">
        <v>-1.7000000000000015E-2</v>
      </c>
      <c r="W22" s="56" t="s">
        <v>404</v>
      </c>
      <c r="X22" s="55">
        <v>0.44</v>
      </c>
      <c r="Y22" s="54">
        <v>0.52</v>
      </c>
      <c r="Z22" s="54">
        <v>0.49</v>
      </c>
      <c r="AA22" s="74">
        <v>0.49</v>
      </c>
      <c r="AB22" s="55">
        <v>0.46600000000000003</v>
      </c>
      <c r="AC22" s="55">
        <f t="shared" si="32"/>
        <v>8.1416666666666512E-3</v>
      </c>
      <c r="AD22" s="61">
        <f t="shared" si="33"/>
        <v>0.95960482974694639</v>
      </c>
      <c r="AE22" s="54">
        <v>0.4</v>
      </c>
      <c r="AF22" s="59" t="s">
        <v>405</v>
      </c>
      <c r="AH22" s="38">
        <f t="shared" si="17"/>
        <v>0.44443749999999999</v>
      </c>
      <c r="AI22" s="39">
        <f>SLOPE(C22:O22,C$3:O$3)</f>
        <v>8.1416666666666512E-3</v>
      </c>
      <c r="AJ22" s="39">
        <f t="shared" si="34"/>
        <v>0.95960482974694639</v>
      </c>
      <c r="AK22" s="40" t="str">
        <f t="shared" si="19"/>
        <v/>
      </c>
      <c r="AL22" s="40">
        <f t="shared" si="20"/>
        <v>-7.0395833333333185E-2</v>
      </c>
      <c r="AM22" s="40" t="str">
        <f t="shared" si="21"/>
        <v/>
      </c>
      <c r="AN22" s="40" t="str">
        <f t="shared" si="22"/>
        <v/>
      </c>
      <c r="AO22" s="40">
        <f t="shared" si="23"/>
        <v>-3.0220833333333294E-2</v>
      </c>
      <c r="AP22" s="40" t="str">
        <f t="shared" si="24"/>
        <v/>
      </c>
      <c r="AQ22" s="40" t="str">
        <f t="shared" si="25"/>
        <v/>
      </c>
      <c r="AR22" s="40">
        <f t="shared" si="26"/>
        <v>2.9541666666666397E-3</v>
      </c>
      <c r="AS22" s="40" t="str">
        <f t="shared" si="27"/>
        <v/>
      </c>
      <c r="AT22" s="40" t="str">
        <f t="shared" si="28"/>
        <v/>
      </c>
      <c r="AU22" s="40">
        <f t="shared" si="29"/>
        <v>8.137916666666653E-2</v>
      </c>
      <c r="AV22" s="40" t="str">
        <f t="shared" si="30"/>
        <v/>
      </c>
      <c r="AW22" s="40" t="str">
        <f t="shared" si="31"/>
        <v/>
      </c>
      <c r="AX22" s="45" t="s">
        <v>166</v>
      </c>
      <c r="AY22" s="44">
        <f>AY21</f>
        <v>5.2344461541066749E-2</v>
      </c>
      <c r="AZ22" s="34">
        <v>19</v>
      </c>
      <c r="BA22" s="34">
        <v>2</v>
      </c>
      <c r="BB22" s="34" t="str">
        <f t="shared" si="35"/>
        <v>Berekening met concentratie nutriënten gelijk aan norm</v>
      </c>
      <c r="BC22" s="34">
        <f t="shared" si="36"/>
        <v>0.49</v>
      </c>
    </row>
    <row r="23" spans="1:55" s="36" customFormat="1" ht="81" customHeight="1" x14ac:dyDescent="0.3">
      <c r="A23" s="53">
        <v>20</v>
      </c>
      <c r="B23" s="53" t="str">
        <f>WLs!C23</f>
        <v>Weerwater</v>
      </c>
      <c r="C23" s="35"/>
      <c r="D23" s="35"/>
      <c r="E23" s="35">
        <v>0.37749999999999995</v>
      </c>
      <c r="F23" s="35"/>
      <c r="G23" s="35"/>
      <c r="H23" s="35">
        <v>0.48350000000000004</v>
      </c>
      <c r="I23" s="35"/>
      <c r="J23" s="35"/>
      <c r="K23" s="35">
        <v>0.47249999999999998</v>
      </c>
      <c r="L23" s="35"/>
      <c r="M23" s="35"/>
      <c r="N23" s="35">
        <v>0.44800000000000006</v>
      </c>
      <c r="O23" s="35"/>
      <c r="P23" s="54">
        <v>0.42</v>
      </c>
      <c r="Q23" s="54" t="s">
        <v>360</v>
      </c>
      <c r="R23" s="54"/>
      <c r="S23" s="54"/>
      <c r="T23" s="54">
        <f>VLOOKUP(A23,WLs!$A$4:$J$23,9,FALSE)</f>
        <v>0.5</v>
      </c>
      <c r="U23" s="55">
        <v>0.43049999999999999</v>
      </c>
      <c r="V23" s="55">
        <v>1.0500000000000009E-2</v>
      </c>
      <c r="W23" s="56" t="s">
        <v>401</v>
      </c>
      <c r="X23" s="55">
        <v>0.45</v>
      </c>
      <c r="Y23" s="54">
        <v>0.48</v>
      </c>
      <c r="Z23" s="74">
        <v>0.48</v>
      </c>
      <c r="AA23" s="54">
        <v>0.48</v>
      </c>
      <c r="AB23" s="55">
        <v>0.46050000000000002</v>
      </c>
      <c r="AC23" s="55">
        <f t="shared" si="32"/>
        <v>6.6833333333333423E-3</v>
      </c>
      <c r="AD23" s="61">
        <f t="shared" si="33"/>
        <v>0.62650269125648483</v>
      </c>
      <c r="AE23" s="54">
        <v>0.42</v>
      </c>
      <c r="AF23" s="59" t="s">
        <v>406</v>
      </c>
      <c r="AH23" s="38">
        <f t="shared" si="17"/>
        <v>0.44537499999999997</v>
      </c>
      <c r="AI23" s="39">
        <f>SLOPE(C23:O23,C$3:O$3)</f>
        <v>6.6833333333333423E-3</v>
      </c>
      <c r="AJ23" s="39">
        <f t="shared" si="34"/>
        <v>0.62650269125648483</v>
      </c>
      <c r="AK23" s="40" t="str">
        <f t="shared" si="19"/>
        <v/>
      </c>
      <c r="AL23" s="40" t="str">
        <f t="shared" si="20"/>
        <v/>
      </c>
      <c r="AM23" s="40">
        <f t="shared" si="21"/>
        <v>-9.4608333333333391E-2</v>
      </c>
      <c r="AN23" s="40" t="str">
        <f t="shared" si="22"/>
        <v/>
      </c>
      <c r="AO23" s="40" t="str">
        <f t="shared" si="23"/>
        <v/>
      </c>
      <c r="AP23" s="40">
        <f t="shared" si="24"/>
        <v>3.1441666666666736E-2</v>
      </c>
      <c r="AQ23" s="40" t="str">
        <f t="shared" si="25"/>
        <v/>
      </c>
      <c r="AR23" s="40" t="str">
        <f t="shared" si="26"/>
        <v/>
      </c>
      <c r="AS23" s="40">
        <f t="shared" si="27"/>
        <v>4.0491666666666697E-2</v>
      </c>
      <c r="AT23" s="40" t="str">
        <f t="shared" si="28"/>
        <v/>
      </c>
      <c r="AU23" s="40" t="str">
        <f t="shared" si="29"/>
        <v/>
      </c>
      <c r="AV23" s="40">
        <f t="shared" si="30"/>
        <v>3.6041666666666812E-2</v>
      </c>
      <c r="AW23" s="40" t="str">
        <f t="shared" si="31"/>
        <v/>
      </c>
      <c r="AX23" s="45" t="s">
        <v>167</v>
      </c>
      <c r="AY23" s="44">
        <f>AY20</f>
        <v>5.3509059646808584E-2</v>
      </c>
      <c r="AZ23" s="34">
        <v>20</v>
      </c>
      <c r="BA23" s="34">
        <v>1</v>
      </c>
      <c r="BB23" s="34" t="str">
        <f t="shared" si="35"/>
        <v>Landelijke tussenevaluatie</v>
      </c>
      <c r="BC23" s="34">
        <f t="shared" si="36"/>
        <v>0.48</v>
      </c>
    </row>
  </sheetData>
  <mergeCells count="8">
    <mergeCell ref="AE2:AF2"/>
    <mergeCell ref="AB2:AD2"/>
    <mergeCell ref="Y2:AA2"/>
    <mergeCell ref="A2:A3"/>
    <mergeCell ref="B2:B3"/>
    <mergeCell ref="C2:O2"/>
    <mergeCell ref="P2:T2"/>
    <mergeCell ref="U2:X2"/>
  </mergeCells>
  <conditionalFormatting sqref="AI4:AI23">
    <cfRule type="cellIs" dxfId="41" priority="5" operator="greaterThan">
      <formula>0.01</formula>
    </cfRule>
    <cfRule type="cellIs" dxfId="40" priority="6" operator="lessThan">
      <formula>-0.01</formula>
    </cfRule>
  </conditionalFormatting>
  <conditionalFormatting sqref="AJ4:AJ23">
    <cfRule type="cellIs" dxfId="39" priority="4" operator="greaterThan">
      <formula>0.8</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129CC-44A4-4A5D-9775-EB2761DF1CF7}">
  <dimension ref="A1:BC23"/>
  <sheetViews>
    <sheetView zoomScaleNormal="100" workbookViewId="0">
      <pane xSplit="2" ySplit="3" topLeftCell="P4" activePane="bottomRight" state="frozen"/>
      <selection pane="topRight" activeCell="B1" sqref="B1"/>
      <selection pane="bottomLeft" activeCell="B1" sqref="B1"/>
      <selection pane="bottomRight" activeCell="P4" sqref="P4"/>
    </sheetView>
  </sheetViews>
  <sheetFormatPr defaultColWidth="8.77734375" defaultRowHeight="14.4" x14ac:dyDescent="0.3"/>
  <cols>
    <col min="1" max="1" width="4.5546875" style="22" customWidth="1"/>
    <col min="2" max="2" width="27" style="22" customWidth="1"/>
    <col min="3" max="15" width="7.5546875" style="22" hidden="1" customWidth="1"/>
    <col min="16" max="16" width="12.44140625" style="22" customWidth="1"/>
    <col min="17" max="17" width="15.44140625" style="22" customWidth="1"/>
    <col min="18" max="18" width="11.44140625" style="22" customWidth="1"/>
    <col min="19" max="19" width="11.21875" style="22" customWidth="1"/>
    <col min="20" max="20" width="8.44140625" style="22" customWidth="1"/>
    <col min="21" max="21" width="15.21875" style="22" customWidth="1"/>
    <col min="22" max="22" width="14.77734375" style="22" customWidth="1"/>
    <col min="23" max="23" width="18.21875" style="22" customWidth="1"/>
    <col min="24" max="24" width="12.44140625" style="22" customWidth="1"/>
    <col min="25" max="25" width="15" style="22" customWidth="1"/>
    <col min="26" max="26" width="10.77734375" style="22" customWidth="1"/>
    <col min="27" max="27" width="14.77734375" style="22" customWidth="1"/>
    <col min="28" max="28" width="12.5546875" style="22" customWidth="1"/>
    <col min="29" max="29" width="10.77734375" style="22" customWidth="1"/>
    <col min="30" max="30" width="17.44140625" style="22" customWidth="1"/>
    <col min="31" max="31" width="10.5546875" style="22" customWidth="1"/>
    <col min="32" max="32" width="70.21875" style="22" customWidth="1"/>
    <col min="33" max="33" width="14.77734375" style="22" bestFit="1" customWidth="1"/>
    <col min="34" max="35" width="8.77734375" style="22" hidden="1" customWidth="1"/>
    <col min="36" max="36" width="16.21875" style="22" hidden="1" customWidth="1"/>
    <col min="37" max="51" width="8.77734375" style="22" hidden="1" customWidth="1"/>
    <col min="52" max="52" width="6" style="22" hidden="1" customWidth="1"/>
    <col min="53" max="54" width="20.44140625" style="22" hidden="1" customWidth="1"/>
    <col min="55" max="55" width="6.44140625" style="22" hidden="1" customWidth="1"/>
    <col min="56" max="16384" width="8.77734375" style="22"/>
  </cols>
  <sheetData>
    <row r="1" spans="1:55" ht="42" x14ac:dyDescent="0.4">
      <c r="A1" s="62" t="s">
        <v>61</v>
      </c>
      <c r="C1" s="22">
        <v>3</v>
      </c>
      <c r="D1" s="22">
        <f>C1+1</f>
        <v>4</v>
      </c>
      <c r="E1" s="22">
        <f t="shared" ref="E1:P1" si="0">D1+1</f>
        <v>5</v>
      </c>
      <c r="F1" s="22">
        <f t="shared" si="0"/>
        <v>6</v>
      </c>
      <c r="G1" s="22">
        <f t="shared" si="0"/>
        <v>7</v>
      </c>
      <c r="H1" s="22">
        <f t="shared" si="0"/>
        <v>8</v>
      </c>
      <c r="I1" s="22">
        <f t="shared" si="0"/>
        <v>9</v>
      </c>
      <c r="J1" s="22">
        <f t="shared" si="0"/>
        <v>10</v>
      </c>
      <c r="K1" s="22">
        <f t="shared" si="0"/>
        <v>11</v>
      </c>
      <c r="L1" s="22">
        <f t="shared" si="0"/>
        <v>12</v>
      </c>
      <c r="M1" s="22">
        <f t="shared" si="0"/>
        <v>13</v>
      </c>
      <c r="N1" s="22">
        <f t="shared" si="0"/>
        <v>14</v>
      </c>
      <c r="O1" s="22">
        <f t="shared" si="0"/>
        <v>15</v>
      </c>
      <c r="P1" s="22">
        <f t="shared" si="0"/>
        <v>16</v>
      </c>
      <c r="Q1" s="22">
        <f t="shared" ref="Q1" si="1">P1+1</f>
        <v>17</v>
      </c>
      <c r="R1" s="22">
        <f t="shared" ref="R1" si="2">Q1+1</f>
        <v>18</v>
      </c>
      <c r="S1" s="22">
        <f t="shared" ref="S1" si="3">R1+1</f>
        <v>19</v>
      </c>
      <c r="T1" s="22">
        <f t="shared" ref="T1" si="4">S1+1</f>
        <v>20</v>
      </c>
      <c r="U1" s="22">
        <f t="shared" ref="U1" si="5">T1+1</f>
        <v>21</v>
      </c>
      <c r="V1" s="22">
        <f t="shared" ref="V1" si="6">U1+1</f>
        <v>22</v>
      </c>
      <c r="W1" s="22">
        <f t="shared" ref="W1" si="7">V1+1</f>
        <v>23</v>
      </c>
      <c r="X1" s="22">
        <f t="shared" ref="X1" si="8">W1+1</f>
        <v>24</v>
      </c>
      <c r="Y1" s="22">
        <f t="shared" ref="Y1" si="9">X1+1</f>
        <v>25</v>
      </c>
      <c r="Z1" s="22">
        <f t="shared" ref="Z1" si="10">Y1+1</f>
        <v>26</v>
      </c>
      <c r="AA1" s="22">
        <f t="shared" ref="AA1" si="11">Z1+1</f>
        <v>27</v>
      </c>
      <c r="AB1" s="22">
        <f t="shared" ref="AB1" si="12">AA1+1</f>
        <v>28</v>
      </c>
      <c r="AC1" s="22">
        <f t="shared" ref="AC1" si="13">AB1+1</f>
        <v>29</v>
      </c>
      <c r="AD1" s="22">
        <f t="shared" ref="AD1" si="14">AC1+1</f>
        <v>30</v>
      </c>
      <c r="AE1" s="22">
        <f t="shared" ref="AE1" si="15">AD1+1</f>
        <v>31</v>
      </c>
    </row>
    <row r="2" spans="1:55" ht="18" customHeight="1" x14ac:dyDescent="0.35">
      <c r="A2" s="229" t="s">
        <v>149</v>
      </c>
      <c r="B2" s="229" t="s">
        <v>150</v>
      </c>
      <c r="C2" s="230" t="s">
        <v>278</v>
      </c>
      <c r="D2" s="230"/>
      <c r="E2" s="230"/>
      <c r="F2" s="230"/>
      <c r="G2" s="230"/>
      <c r="H2" s="230"/>
      <c r="I2" s="230"/>
      <c r="J2" s="230"/>
      <c r="K2" s="230"/>
      <c r="L2" s="230"/>
      <c r="M2" s="230"/>
      <c r="N2" s="230"/>
      <c r="O2" s="230"/>
      <c r="P2" s="226" t="s">
        <v>37</v>
      </c>
      <c r="Q2" s="226"/>
      <c r="R2" s="226"/>
      <c r="S2" s="226"/>
      <c r="T2" s="226"/>
      <c r="U2" s="221" t="s">
        <v>279</v>
      </c>
      <c r="V2" s="222"/>
      <c r="W2" s="222"/>
      <c r="X2" s="223"/>
      <c r="Y2" s="226" t="s">
        <v>280</v>
      </c>
      <c r="Z2" s="226"/>
      <c r="AA2" s="226"/>
      <c r="AB2" s="221" t="s">
        <v>407</v>
      </c>
      <c r="AC2" s="222"/>
      <c r="AD2" s="223"/>
      <c r="AE2" s="224" t="s">
        <v>281</v>
      </c>
      <c r="AF2" s="225"/>
      <c r="AI2" s="22" t="s">
        <v>282</v>
      </c>
      <c r="AK2" s="22">
        <v>-6</v>
      </c>
      <c r="AL2" s="22">
        <f>AK2+1</f>
        <v>-5</v>
      </c>
      <c r="AM2" s="22">
        <f t="shared" ref="AM2:AW2" si="16">AL2+1</f>
        <v>-4</v>
      </c>
      <c r="AN2" s="22">
        <f t="shared" si="16"/>
        <v>-3</v>
      </c>
      <c r="AO2" s="22">
        <f t="shared" si="16"/>
        <v>-2</v>
      </c>
      <c r="AP2" s="22">
        <f t="shared" si="16"/>
        <v>-1</v>
      </c>
      <c r="AQ2" s="22">
        <f t="shared" si="16"/>
        <v>0</v>
      </c>
      <c r="AR2" s="22">
        <f t="shared" si="16"/>
        <v>1</v>
      </c>
      <c r="AS2" s="22">
        <f t="shared" si="16"/>
        <v>2</v>
      </c>
      <c r="AT2" s="22">
        <f t="shared" si="16"/>
        <v>3</v>
      </c>
      <c r="AU2" s="22">
        <f t="shared" si="16"/>
        <v>4</v>
      </c>
      <c r="AV2" s="22">
        <f t="shared" si="16"/>
        <v>5</v>
      </c>
      <c r="AW2" s="22">
        <f t="shared" si="16"/>
        <v>6</v>
      </c>
    </row>
    <row r="3" spans="1:55" s="66" customFormat="1" ht="86.4" x14ac:dyDescent="0.3">
      <c r="A3" s="229"/>
      <c r="B3" s="229"/>
      <c r="C3" s="121">
        <v>2012</v>
      </c>
      <c r="D3" s="121">
        <v>2013</v>
      </c>
      <c r="E3" s="121">
        <v>2014</v>
      </c>
      <c r="F3" s="121">
        <v>2015</v>
      </c>
      <c r="G3" s="121">
        <v>2016</v>
      </c>
      <c r="H3" s="121">
        <v>2017</v>
      </c>
      <c r="I3" s="121">
        <v>2018</v>
      </c>
      <c r="J3" s="121">
        <v>2019</v>
      </c>
      <c r="K3" s="121">
        <v>2020</v>
      </c>
      <c r="L3" s="121">
        <v>2021</v>
      </c>
      <c r="M3" s="121">
        <v>2022</v>
      </c>
      <c r="N3" s="121">
        <v>2023</v>
      </c>
      <c r="O3" s="122">
        <v>2024</v>
      </c>
      <c r="P3" s="112" t="s">
        <v>283</v>
      </c>
      <c r="Q3" s="112" t="s">
        <v>284</v>
      </c>
      <c r="R3" s="112" t="s">
        <v>285</v>
      </c>
      <c r="S3" s="112" t="s">
        <v>286</v>
      </c>
      <c r="T3" s="112" t="s">
        <v>160</v>
      </c>
      <c r="U3" s="113" t="s">
        <v>287</v>
      </c>
      <c r="V3" s="113" t="s">
        <v>288</v>
      </c>
      <c r="W3" s="113" t="s">
        <v>289</v>
      </c>
      <c r="X3" s="113" t="s">
        <v>132</v>
      </c>
      <c r="Y3" s="112" t="s">
        <v>290</v>
      </c>
      <c r="Z3" s="112" t="s">
        <v>291</v>
      </c>
      <c r="AA3" s="112" t="s">
        <v>292</v>
      </c>
      <c r="AB3" s="113" t="s">
        <v>408</v>
      </c>
      <c r="AC3" s="113" t="s">
        <v>294</v>
      </c>
      <c r="AD3" s="113" t="s">
        <v>295</v>
      </c>
      <c r="AE3" s="112" t="s">
        <v>67</v>
      </c>
      <c r="AF3" s="112" t="s">
        <v>296</v>
      </c>
      <c r="AH3" s="123" t="s">
        <v>297</v>
      </c>
      <c r="AI3" s="123" t="s">
        <v>298</v>
      </c>
      <c r="AJ3" s="123" t="s">
        <v>299</v>
      </c>
      <c r="AK3" s="124">
        <v>2012</v>
      </c>
      <c r="AL3" s="124">
        <v>2013</v>
      </c>
      <c r="AM3" s="124">
        <v>2014</v>
      </c>
      <c r="AN3" s="124">
        <v>2015</v>
      </c>
      <c r="AO3" s="124">
        <v>2016</v>
      </c>
      <c r="AP3" s="124">
        <v>2017</v>
      </c>
      <c r="AQ3" s="124">
        <v>2018</v>
      </c>
      <c r="AR3" s="124">
        <v>2019</v>
      </c>
      <c r="AS3" s="124">
        <v>2020</v>
      </c>
      <c r="AT3" s="124">
        <v>2021</v>
      </c>
      <c r="AU3" s="124">
        <v>2022</v>
      </c>
      <c r="AV3" s="124">
        <v>2023</v>
      </c>
      <c r="AW3" s="124">
        <v>2024</v>
      </c>
      <c r="AX3" s="125" t="s">
        <v>151</v>
      </c>
      <c r="AY3" s="126" t="s">
        <v>300</v>
      </c>
      <c r="AZ3" s="137" t="s">
        <v>301</v>
      </c>
      <c r="BA3" s="137" t="s">
        <v>302</v>
      </c>
      <c r="BB3" s="137" t="s">
        <v>303</v>
      </c>
      <c r="BC3" s="137" t="s">
        <v>157</v>
      </c>
    </row>
    <row r="4" spans="1:55" s="66" customFormat="1" ht="129.6" x14ac:dyDescent="0.3">
      <c r="A4" s="63">
        <v>1</v>
      </c>
      <c r="B4" s="53" t="str">
        <f>WLs!C4</f>
        <v>Tochten ABC1</v>
      </c>
      <c r="C4" s="64"/>
      <c r="D4" s="64"/>
      <c r="E4" s="64"/>
      <c r="F4" s="64"/>
      <c r="G4" s="64"/>
      <c r="H4" s="64"/>
      <c r="I4" s="64">
        <v>0.38100000000000001</v>
      </c>
      <c r="J4" s="64"/>
      <c r="K4" s="64"/>
      <c r="L4" s="64"/>
      <c r="M4" s="64"/>
      <c r="N4" s="64">
        <v>0.44800000000000001</v>
      </c>
      <c r="O4" s="64"/>
      <c r="P4" s="59">
        <v>0.38</v>
      </c>
      <c r="Q4" s="59" t="s">
        <v>409</v>
      </c>
      <c r="R4" s="59">
        <v>0.42000000000000004</v>
      </c>
      <c r="S4" s="59">
        <v>-0.02</v>
      </c>
      <c r="T4" s="59">
        <f>VLOOKUP(A4,WLs!$A$4:$J$23,10,FALSE)</f>
        <v>0.4</v>
      </c>
      <c r="U4" s="56">
        <v>0.38100000000000001</v>
      </c>
      <c r="V4" s="56">
        <v>1.0000000000000009E-3</v>
      </c>
      <c r="W4" s="56" t="s">
        <v>410</v>
      </c>
      <c r="X4" s="56">
        <v>0.43</v>
      </c>
      <c r="Y4" s="59">
        <v>0.38</v>
      </c>
      <c r="Z4" s="84">
        <v>0.38</v>
      </c>
      <c r="AA4" s="59">
        <v>0.43</v>
      </c>
      <c r="AB4" s="56">
        <v>0.44800000000000001</v>
      </c>
      <c r="AC4" s="56">
        <f>AI4</f>
        <v>1.34E-2</v>
      </c>
      <c r="AD4" s="65">
        <f>AJ4</f>
        <v>0.99999999999999978</v>
      </c>
      <c r="AE4" s="59">
        <v>0.4</v>
      </c>
      <c r="AF4" s="59" t="s">
        <v>411</v>
      </c>
      <c r="AH4" s="67">
        <f t="shared" ref="AH4:AH20" si="17">AVERAGE(C4:O4)</f>
        <v>0.41449999999999998</v>
      </c>
      <c r="AI4" s="68">
        <f t="shared" ref="AI4:AI11" si="18">SLOPE(C4:O4,C$3:O$3)</f>
        <v>1.34E-2</v>
      </c>
      <c r="AJ4" s="68">
        <f>RSQ(AK4:AW4,AK$3:AW$3)</f>
        <v>0.99999999999999978</v>
      </c>
      <c r="AK4" s="69" t="str">
        <f t="shared" ref="AK4:AK11" si="19">IF(C4="","",C4-$AH4+AK$2*$AI4)</f>
        <v/>
      </c>
      <c r="AL4" s="69" t="str">
        <f t="shared" ref="AL4:AL11" si="20">IF(D4="","",D4-$AH4+AL$2*$AI4)</f>
        <v/>
      </c>
      <c r="AM4" s="69" t="str">
        <f t="shared" ref="AM4:AM11" si="21">IF(E4="","",E4-$AH4+AM$2*$AI4)</f>
        <v/>
      </c>
      <c r="AN4" s="69" t="str">
        <f t="shared" ref="AN4:AN11" si="22">IF(F4="","",F4-$AH4+AN$2*$AI4)</f>
        <v/>
      </c>
      <c r="AO4" s="69" t="str">
        <f t="shared" ref="AO4:AO11" si="23">IF(G4="","",G4-$AH4+AO$2*$AI4)</f>
        <v/>
      </c>
      <c r="AP4" s="69" t="str">
        <f t="shared" ref="AP4:AP11" si="24">IF(H4="","",H4-$AH4+AP$2*$AI4)</f>
        <v/>
      </c>
      <c r="AQ4" s="69">
        <f t="shared" ref="AQ4:AQ11" si="25">IF(I4="","",I4-$AH4+AQ$2*$AI4)</f>
        <v>-3.3499999999999974E-2</v>
      </c>
      <c r="AR4" s="69" t="str">
        <f t="shared" ref="AR4:AR11" si="26">IF(J4="","",J4-$AH4+AR$2*$AI4)</f>
        <v/>
      </c>
      <c r="AS4" s="69" t="str">
        <f t="shared" ref="AS4:AS11" si="27">IF(K4="","",K4-$AH4+AS$2*$AI4)</f>
        <v/>
      </c>
      <c r="AT4" s="69" t="str">
        <f t="shared" ref="AT4:AT11" si="28">IF(L4="","",L4-$AH4+AT$2*$AI4)</f>
        <v/>
      </c>
      <c r="AU4" s="69" t="str">
        <f t="shared" ref="AU4:AU11" si="29">IF(M4="","",M4-$AH4+AU$2*$AI4)</f>
        <v/>
      </c>
      <c r="AV4" s="69">
        <f t="shared" ref="AV4:AV11" si="30">IF(N4="","",N4-$AH4+AV$2*$AI4)</f>
        <v>0.10050000000000003</v>
      </c>
      <c r="AW4" s="69" t="str">
        <f t="shared" ref="AW4:AW11" si="31">IF(O4="","",O4-$AH4+AW$2*$AI4)</f>
        <v/>
      </c>
      <c r="AX4" s="70" t="s">
        <v>161</v>
      </c>
      <c r="AY4" s="71">
        <f>_xlfn.STDEV.S(AK4:AW5)</f>
        <v>0.14494711679321762</v>
      </c>
      <c r="AZ4" s="23">
        <v>1</v>
      </c>
      <c r="BA4" s="23">
        <v>1</v>
      </c>
      <c r="BB4" s="23" t="str">
        <f>IF(BA4=1,"Landelijke tussenevaluatie",IF(BA4=2,"Berekening met concentratie nutriënten gelijk aan norm","n.b."))</f>
        <v>Landelijke tussenevaluatie</v>
      </c>
      <c r="BC4" s="23">
        <f>IF(BA4=1,Z4,IF(BA4=2,AA4,"n.b."))</f>
        <v>0.38</v>
      </c>
    </row>
    <row r="5" spans="1:55" s="66" customFormat="1" ht="107.25" customHeight="1" x14ac:dyDescent="0.3">
      <c r="A5" s="63">
        <v>2</v>
      </c>
      <c r="B5" s="53" t="str">
        <f>WLs!C5</f>
        <v>Tochten ABC2</v>
      </c>
      <c r="C5" s="64"/>
      <c r="D5" s="64"/>
      <c r="E5" s="64"/>
      <c r="F5" s="64"/>
      <c r="G5" s="64"/>
      <c r="H5" s="64"/>
      <c r="I5" s="64">
        <v>0.46300000000000002</v>
      </c>
      <c r="J5" s="64"/>
      <c r="K5" s="64"/>
      <c r="L5" s="64"/>
      <c r="M5" s="64"/>
      <c r="N5" s="64">
        <v>0.624</v>
      </c>
      <c r="O5" s="64"/>
      <c r="P5" s="59">
        <v>0.45300000000000001</v>
      </c>
      <c r="Q5" s="59" t="s">
        <v>412</v>
      </c>
      <c r="R5" s="59">
        <v>0.48</v>
      </c>
      <c r="S5" s="59">
        <v>-0.03</v>
      </c>
      <c r="T5" s="59">
        <f>VLOOKUP(A5,WLs!$A$4:$J$23,10,FALSE)</f>
        <v>0.45</v>
      </c>
      <c r="U5" s="56">
        <v>0.46300000000000002</v>
      </c>
      <c r="V5" s="56">
        <v>1.0000000000000009E-2</v>
      </c>
      <c r="W5" s="56" t="s">
        <v>413</v>
      </c>
      <c r="X5" s="56">
        <v>0.48</v>
      </c>
      <c r="Y5" s="59">
        <v>0.46</v>
      </c>
      <c r="Z5" s="84">
        <v>0.47</v>
      </c>
      <c r="AA5" s="59">
        <v>0.45</v>
      </c>
      <c r="AB5" s="56">
        <v>0.624</v>
      </c>
      <c r="AC5" s="56">
        <f t="shared" ref="AC5:AC23" si="32">AI5</f>
        <v>3.2199999999999999E-2</v>
      </c>
      <c r="AD5" s="65">
        <f t="shared" ref="AD5:AD23" si="33">AJ5</f>
        <v>1</v>
      </c>
      <c r="AE5" s="59">
        <v>0.45</v>
      </c>
      <c r="AF5" s="59" t="s">
        <v>414</v>
      </c>
      <c r="AH5" s="67">
        <f t="shared" si="17"/>
        <v>0.54349999999999998</v>
      </c>
      <c r="AI5" s="68">
        <f t="shared" si="18"/>
        <v>3.2199999999999999E-2</v>
      </c>
      <c r="AJ5" s="68">
        <f t="shared" ref="AJ5:AJ23" si="34">RSQ(AK5:AW5,AK$3:AW$3)</f>
        <v>1</v>
      </c>
      <c r="AK5" s="69" t="str">
        <f t="shared" si="19"/>
        <v/>
      </c>
      <c r="AL5" s="69" t="str">
        <f t="shared" si="20"/>
        <v/>
      </c>
      <c r="AM5" s="69" t="str">
        <f t="shared" si="21"/>
        <v/>
      </c>
      <c r="AN5" s="69" t="str">
        <f t="shared" si="22"/>
        <v/>
      </c>
      <c r="AO5" s="69" t="str">
        <f t="shared" si="23"/>
        <v/>
      </c>
      <c r="AP5" s="69" t="str">
        <f t="shared" si="24"/>
        <v/>
      </c>
      <c r="AQ5" s="69">
        <f t="shared" si="25"/>
        <v>-8.049999999999996E-2</v>
      </c>
      <c r="AR5" s="69" t="str">
        <f t="shared" si="26"/>
        <v/>
      </c>
      <c r="AS5" s="69" t="str">
        <f t="shared" si="27"/>
        <v/>
      </c>
      <c r="AT5" s="69" t="str">
        <f t="shared" si="28"/>
        <v/>
      </c>
      <c r="AU5" s="69" t="str">
        <f t="shared" si="29"/>
        <v/>
      </c>
      <c r="AV5" s="69">
        <f t="shared" si="30"/>
        <v>0.24150000000000002</v>
      </c>
      <c r="AW5" s="69" t="str">
        <f t="shared" si="31"/>
        <v/>
      </c>
      <c r="AX5" s="52" t="s">
        <v>161</v>
      </c>
      <c r="AY5" s="72">
        <f>AY4</f>
        <v>0.14494711679321762</v>
      </c>
      <c r="AZ5" s="23">
        <v>2</v>
      </c>
      <c r="BA5" s="23">
        <v>1</v>
      </c>
      <c r="BB5" s="23" t="str">
        <f t="shared" ref="BB5:BB23" si="35">IF(BA5=1,"Landelijke tussenevaluatie",IF(BA5=2,"Berekening met concentratie nutriënten gelijk aan norm","n.b."))</f>
        <v>Landelijke tussenevaluatie</v>
      </c>
      <c r="BC5" s="23">
        <f t="shared" ref="BC5:BC23" si="36">IF(BA5=1,Z5,IF(BA5=2,AA5,"n.b."))</f>
        <v>0.47</v>
      </c>
    </row>
    <row r="6" spans="1:55" s="66" customFormat="1" ht="92.25" customHeight="1" x14ac:dyDescent="0.3">
      <c r="A6" s="63">
        <v>3</v>
      </c>
      <c r="B6" s="53" t="str">
        <f>WLs!C6</f>
        <v>Tochten DE Almere</v>
      </c>
      <c r="C6" s="64"/>
      <c r="D6" s="64">
        <v>0.42980357142857145</v>
      </c>
      <c r="E6" s="64"/>
      <c r="F6" s="64"/>
      <c r="G6" s="64"/>
      <c r="H6" s="64"/>
      <c r="I6" s="64">
        <v>0.38850877192982458</v>
      </c>
      <c r="J6" s="64"/>
      <c r="K6" s="64"/>
      <c r="L6" s="64"/>
      <c r="M6" s="64"/>
      <c r="N6" s="64">
        <v>0.67717647058823527</v>
      </c>
      <c r="O6" s="64"/>
      <c r="P6" s="59" t="s">
        <v>329</v>
      </c>
      <c r="Q6" s="59"/>
      <c r="R6" s="59"/>
      <c r="S6" s="59"/>
      <c r="T6" s="54" t="s">
        <v>330</v>
      </c>
      <c r="U6" s="85" t="s">
        <v>415</v>
      </c>
      <c r="V6" s="56"/>
      <c r="W6" s="56" t="s">
        <v>416</v>
      </c>
      <c r="X6" s="56">
        <v>0.42</v>
      </c>
      <c r="Y6" s="54" t="s">
        <v>314</v>
      </c>
      <c r="Z6" s="54" t="s">
        <v>314</v>
      </c>
      <c r="AA6" s="54" t="s">
        <v>314</v>
      </c>
      <c r="AB6" s="56">
        <v>0.67700000000000005</v>
      </c>
      <c r="AC6" s="56">
        <f t="shared" si="32"/>
        <v>2.4737289915966382E-2</v>
      </c>
      <c r="AD6" s="65">
        <f t="shared" si="33"/>
        <v>0.87087780389907599</v>
      </c>
      <c r="AE6" s="59">
        <v>0.39</v>
      </c>
      <c r="AF6" s="59" t="s">
        <v>417</v>
      </c>
      <c r="AH6" s="67">
        <f t="shared" si="17"/>
        <v>0.4984962713155438</v>
      </c>
      <c r="AI6" s="68">
        <f t="shared" si="18"/>
        <v>2.4737289915966382E-2</v>
      </c>
      <c r="AJ6" s="68">
        <f t="shared" ref="AJ6:AJ7" si="37">RSQ(AK6:AW6,AK$3:AW$3)</f>
        <v>0.87087780389907599</v>
      </c>
      <c r="AK6" s="69" t="str">
        <f t="shared" si="19"/>
        <v/>
      </c>
      <c r="AL6" s="69">
        <f t="shared" si="20"/>
        <v>-0.19237914946680426</v>
      </c>
      <c r="AM6" s="69" t="str">
        <f t="shared" si="21"/>
        <v/>
      </c>
      <c r="AN6" s="69" t="str">
        <f t="shared" si="22"/>
        <v/>
      </c>
      <c r="AO6" s="69" t="str">
        <f t="shared" si="23"/>
        <v/>
      </c>
      <c r="AP6" s="69" t="str">
        <f t="shared" si="24"/>
        <v/>
      </c>
      <c r="AQ6" s="69">
        <f t="shared" si="25"/>
        <v>-0.10998749938571922</v>
      </c>
      <c r="AR6" s="69" t="str">
        <f t="shared" si="26"/>
        <v/>
      </c>
      <c r="AS6" s="69" t="str">
        <f t="shared" si="27"/>
        <v/>
      </c>
      <c r="AT6" s="69" t="str">
        <f t="shared" si="28"/>
        <v/>
      </c>
      <c r="AU6" s="69" t="str">
        <f t="shared" si="29"/>
        <v/>
      </c>
      <c r="AV6" s="69">
        <f t="shared" si="30"/>
        <v>0.3023666488525234</v>
      </c>
      <c r="AW6" s="69" t="str">
        <f t="shared" si="31"/>
        <v/>
      </c>
      <c r="AX6" s="52" t="s">
        <v>163</v>
      </c>
      <c r="AY6" s="72" t="e">
        <f>#REF!</f>
        <v>#REF!</v>
      </c>
      <c r="AZ6" s="23">
        <v>3</v>
      </c>
      <c r="BA6" s="23"/>
      <c r="BB6" s="23" t="str">
        <f t="shared" si="35"/>
        <v>n.b.</v>
      </c>
      <c r="BC6" s="23" t="str">
        <f t="shared" si="36"/>
        <v>n.b.</v>
      </c>
    </row>
    <row r="7" spans="1:55" s="66" customFormat="1" ht="86.4" x14ac:dyDescent="0.3">
      <c r="A7" s="63">
        <v>4</v>
      </c>
      <c r="B7" s="53" t="str">
        <f>WLs!C7</f>
        <v>Tochten DE Zuidlob</v>
      </c>
      <c r="C7" s="64"/>
      <c r="D7" s="64">
        <v>0.43046624803767658</v>
      </c>
      <c r="E7" s="64"/>
      <c r="F7" s="64"/>
      <c r="G7" s="64"/>
      <c r="H7" s="64"/>
      <c r="I7" s="64">
        <v>0.52075000000000005</v>
      </c>
      <c r="J7" s="64"/>
      <c r="K7" s="64"/>
      <c r="L7" s="64"/>
      <c r="M7" s="64"/>
      <c r="N7" s="64">
        <v>0.69264180478821369</v>
      </c>
      <c r="O7" s="64"/>
      <c r="P7" s="59" t="s">
        <v>329</v>
      </c>
      <c r="Q7" s="59"/>
      <c r="R7" s="59"/>
      <c r="S7" s="59"/>
      <c r="T7" s="54" t="s">
        <v>330</v>
      </c>
      <c r="U7" s="108" t="s">
        <v>418</v>
      </c>
      <c r="V7" s="56"/>
      <c r="W7" s="56" t="s">
        <v>419</v>
      </c>
      <c r="X7" s="56">
        <v>0.5</v>
      </c>
      <c r="Y7" s="54" t="s">
        <v>314</v>
      </c>
      <c r="Z7" s="54" t="s">
        <v>314</v>
      </c>
      <c r="AA7" s="54" t="s">
        <v>314</v>
      </c>
      <c r="AB7" s="56">
        <v>0.69299999999999995</v>
      </c>
      <c r="AC7" s="56">
        <f t="shared" si="32"/>
        <v>2.6217555675053711E-2</v>
      </c>
      <c r="AD7" s="65">
        <f t="shared" si="33"/>
        <v>0.99199045435813504</v>
      </c>
      <c r="AE7" s="59">
        <v>0.47</v>
      </c>
      <c r="AF7" s="59" t="s">
        <v>420</v>
      </c>
      <c r="AH7" s="67">
        <f t="shared" si="17"/>
        <v>0.54795268427529675</v>
      </c>
      <c r="AI7" s="68">
        <f t="shared" si="18"/>
        <v>2.6217555675053711E-2</v>
      </c>
      <c r="AJ7" s="68">
        <f t="shared" si="37"/>
        <v>0.99199045435813504</v>
      </c>
      <c r="AK7" s="69" t="str">
        <f t="shared" si="19"/>
        <v/>
      </c>
      <c r="AL7" s="69">
        <f t="shared" si="20"/>
        <v>-0.24857421461288873</v>
      </c>
      <c r="AM7" s="69" t="str">
        <f t="shared" si="21"/>
        <v/>
      </c>
      <c r="AN7" s="69" t="str">
        <f t="shared" si="22"/>
        <v/>
      </c>
      <c r="AO7" s="69" t="str">
        <f t="shared" si="23"/>
        <v/>
      </c>
      <c r="AP7" s="69" t="str">
        <f t="shared" si="24"/>
        <v/>
      </c>
      <c r="AQ7" s="69">
        <f t="shared" si="25"/>
        <v>-2.7202684275296707E-2</v>
      </c>
      <c r="AR7" s="69" t="str">
        <f t="shared" si="26"/>
        <v/>
      </c>
      <c r="AS7" s="69" t="str">
        <f t="shared" si="27"/>
        <v/>
      </c>
      <c r="AT7" s="69" t="str">
        <f t="shared" si="28"/>
        <v/>
      </c>
      <c r="AU7" s="69" t="str">
        <f t="shared" si="29"/>
        <v/>
      </c>
      <c r="AV7" s="69">
        <f t="shared" si="30"/>
        <v>0.27577689888818546</v>
      </c>
      <c r="AW7" s="69" t="str">
        <f t="shared" si="31"/>
        <v/>
      </c>
      <c r="AX7" s="52" t="s">
        <v>163</v>
      </c>
      <c r="AY7" s="72" t="e">
        <f t="shared" ref="AY7:AY12" si="38">AY6</f>
        <v>#REF!</v>
      </c>
      <c r="AZ7" s="23">
        <v>4</v>
      </c>
      <c r="BA7" s="23"/>
      <c r="BB7" s="23" t="str">
        <f t="shared" si="35"/>
        <v>n.b.</v>
      </c>
      <c r="BC7" s="23" t="str">
        <f t="shared" si="36"/>
        <v>n.b.</v>
      </c>
    </row>
    <row r="8" spans="1:55" s="66" customFormat="1" ht="86.4" x14ac:dyDescent="0.3">
      <c r="A8" s="63">
        <v>5</v>
      </c>
      <c r="B8" s="53" t="str">
        <f>WLs!C8</f>
        <v>Tochten FGIK</v>
      </c>
      <c r="C8" s="64">
        <v>0.318</v>
      </c>
      <c r="D8" s="64"/>
      <c r="E8" s="64"/>
      <c r="F8" s="64"/>
      <c r="G8" s="64"/>
      <c r="H8" s="64"/>
      <c r="I8" s="64">
        <v>0.442</v>
      </c>
      <c r="J8" s="64"/>
      <c r="K8" s="64"/>
      <c r="L8" s="64"/>
      <c r="M8" s="64"/>
      <c r="N8" s="64"/>
      <c r="O8" s="64"/>
      <c r="P8" s="59">
        <v>0.442</v>
      </c>
      <c r="Q8" s="59" t="s">
        <v>305</v>
      </c>
      <c r="R8" s="59">
        <v>0.44</v>
      </c>
      <c r="S8" s="59">
        <v>-0.04</v>
      </c>
      <c r="T8" s="59">
        <f>VLOOKUP(A8,WLs!$A$4:$J$23,10,FALSE)</f>
        <v>0.4</v>
      </c>
      <c r="U8" s="56">
        <v>0.442</v>
      </c>
      <c r="V8" s="56">
        <v>0</v>
      </c>
      <c r="W8" s="56" t="s">
        <v>421</v>
      </c>
      <c r="X8" s="56">
        <v>0.47</v>
      </c>
      <c r="Y8" s="59">
        <v>0.44</v>
      </c>
      <c r="Z8" s="84">
        <v>0.44</v>
      </c>
      <c r="AA8" s="59">
        <v>0.44</v>
      </c>
      <c r="AB8" s="56" t="s">
        <v>422</v>
      </c>
      <c r="AC8" s="56">
        <f t="shared" si="32"/>
        <v>2.0666666666666667E-2</v>
      </c>
      <c r="AD8" s="65">
        <f t="shared" si="33"/>
        <v>1.0000000000000004</v>
      </c>
      <c r="AE8" s="59">
        <v>0.44</v>
      </c>
      <c r="AF8" s="59" t="s">
        <v>423</v>
      </c>
      <c r="AH8" s="67">
        <f t="shared" si="17"/>
        <v>0.38</v>
      </c>
      <c r="AI8" s="68">
        <f t="shared" si="18"/>
        <v>2.0666666666666667E-2</v>
      </c>
      <c r="AJ8" s="68">
        <f t="shared" si="34"/>
        <v>1.0000000000000004</v>
      </c>
      <c r="AK8" s="69">
        <f t="shared" si="19"/>
        <v>-0.186</v>
      </c>
      <c r="AL8" s="69" t="str">
        <f t="shared" si="20"/>
        <v/>
      </c>
      <c r="AM8" s="69" t="str">
        <f t="shared" si="21"/>
        <v/>
      </c>
      <c r="AN8" s="69" t="str">
        <f t="shared" si="22"/>
        <v/>
      </c>
      <c r="AO8" s="69" t="str">
        <f t="shared" si="23"/>
        <v/>
      </c>
      <c r="AP8" s="69" t="str">
        <f t="shared" si="24"/>
        <v/>
      </c>
      <c r="AQ8" s="69">
        <f t="shared" si="25"/>
        <v>6.2E-2</v>
      </c>
      <c r="AR8" s="69" t="str">
        <f t="shared" si="26"/>
        <v/>
      </c>
      <c r="AS8" s="69" t="str">
        <f t="shared" si="27"/>
        <v/>
      </c>
      <c r="AT8" s="69" t="str">
        <f t="shared" si="28"/>
        <v/>
      </c>
      <c r="AU8" s="69" t="str">
        <f t="shared" si="29"/>
        <v/>
      </c>
      <c r="AV8" s="69" t="str">
        <f t="shared" si="30"/>
        <v/>
      </c>
      <c r="AW8" s="69" t="str">
        <f t="shared" si="31"/>
        <v/>
      </c>
      <c r="AX8" s="52" t="s">
        <v>163</v>
      </c>
      <c r="AY8" s="72" t="e">
        <f t="shared" si="38"/>
        <v>#REF!</v>
      </c>
      <c r="AZ8" s="23">
        <v>5</v>
      </c>
      <c r="BA8" s="23">
        <v>1</v>
      </c>
      <c r="BB8" s="23" t="str">
        <f t="shared" si="35"/>
        <v>Landelijke tussenevaluatie</v>
      </c>
      <c r="BC8" s="23">
        <f t="shared" si="36"/>
        <v>0.44</v>
      </c>
    </row>
    <row r="9" spans="1:55" s="66" customFormat="1" ht="117.75" customHeight="1" x14ac:dyDescent="0.3">
      <c r="A9" s="63">
        <v>6</v>
      </c>
      <c r="B9" s="53" t="str">
        <f>WLs!C9</f>
        <v>Tochten H</v>
      </c>
      <c r="C9" s="64"/>
      <c r="D9" s="64">
        <v>0.498</v>
      </c>
      <c r="E9" s="64"/>
      <c r="F9" s="64"/>
      <c r="G9" s="64"/>
      <c r="H9" s="64"/>
      <c r="I9" s="64">
        <v>0.49099999999999999</v>
      </c>
      <c r="J9" s="64"/>
      <c r="K9" s="64"/>
      <c r="L9" s="64"/>
      <c r="M9" s="64"/>
      <c r="N9" s="64"/>
      <c r="O9" s="64"/>
      <c r="P9" s="81" t="s">
        <v>424</v>
      </c>
      <c r="Q9" s="59" t="s">
        <v>425</v>
      </c>
      <c r="R9" s="59">
        <v>0.55000000000000004</v>
      </c>
      <c r="S9" s="59">
        <v>-0.05</v>
      </c>
      <c r="T9" s="59">
        <f>VLOOKUP(A9,WLs!$A$4:$J$23,10,FALSE)</f>
        <v>0.5</v>
      </c>
      <c r="U9" s="82" t="s">
        <v>426</v>
      </c>
      <c r="V9" s="56">
        <v>1.4500000000000013E-2</v>
      </c>
      <c r="W9" s="56" t="s">
        <v>427</v>
      </c>
      <c r="X9" s="56">
        <v>0.5</v>
      </c>
      <c r="Y9" s="81" t="s">
        <v>424</v>
      </c>
      <c r="Z9" s="59">
        <v>0.48</v>
      </c>
      <c r="AA9" s="84">
        <v>0.55000000000000004</v>
      </c>
      <c r="AB9" s="56" t="s">
        <v>428</v>
      </c>
      <c r="AC9" s="56">
        <f t="shared" si="32"/>
        <v>-1.4000000000000013E-3</v>
      </c>
      <c r="AD9" s="65">
        <f t="shared" si="33"/>
        <v>1</v>
      </c>
      <c r="AE9" s="59">
        <v>0.47</v>
      </c>
      <c r="AF9" s="59" t="s">
        <v>429</v>
      </c>
      <c r="AH9" s="67">
        <f t="shared" si="17"/>
        <v>0.4945</v>
      </c>
      <c r="AI9" s="68">
        <f t="shared" si="18"/>
        <v>-1.4000000000000013E-3</v>
      </c>
      <c r="AJ9" s="68">
        <f t="shared" si="34"/>
        <v>1</v>
      </c>
      <c r="AK9" s="69" t="str">
        <f t="shared" si="19"/>
        <v/>
      </c>
      <c r="AL9" s="69">
        <f t="shared" si="20"/>
        <v>1.0500000000000009E-2</v>
      </c>
      <c r="AM9" s="69" t="str">
        <f t="shared" si="21"/>
        <v/>
      </c>
      <c r="AN9" s="69" t="str">
        <f t="shared" si="22"/>
        <v/>
      </c>
      <c r="AO9" s="69" t="str">
        <f t="shared" si="23"/>
        <v/>
      </c>
      <c r="AP9" s="69" t="str">
        <f t="shared" si="24"/>
        <v/>
      </c>
      <c r="AQ9" s="69">
        <f t="shared" si="25"/>
        <v>-3.5000000000000031E-3</v>
      </c>
      <c r="AR9" s="69" t="str">
        <f t="shared" si="26"/>
        <v/>
      </c>
      <c r="AS9" s="69" t="str">
        <f t="shared" si="27"/>
        <v/>
      </c>
      <c r="AT9" s="69" t="str">
        <f t="shared" si="28"/>
        <v/>
      </c>
      <c r="AU9" s="69" t="str">
        <f t="shared" si="29"/>
        <v/>
      </c>
      <c r="AV9" s="69" t="str">
        <f t="shared" si="30"/>
        <v/>
      </c>
      <c r="AW9" s="69" t="str">
        <f t="shared" si="31"/>
        <v/>
      </c>
      <c r="AX9" s="52" t="s">
        <v>163</v>
      </c>
      <c r="AY9" s="72" t="e">
        <f t="shared" si="38"/>
        <v>#REF!</v>
      </c>
      <c r="AZ9" s="23">
        <v>6</v>
      </c>
      <c r="BA9" s="23">
        <v>2</v>
      </c>
      <c r="BB9" s="23" t="str">
        <f t="shared" si="35"/>
        <v>Berekening met concentratie nutriënten gelijk aan norm</v>
      </c>
      <c r="BC9" s="23">
        <f t="shared" si="36"/>
        <v>0.55000000000000004</v>
      </c>
    </row>
    <row r="10" spans="1:55" s="66" customFormat="1" ht="168" customHeight="1" x14ac:dyDescent="0.3">
      <c r="A10" s="63">
        <v>7</v>
      </c>
      <c r="B10" s="53" t="str">
        <f>WLs!C10</f>
        <v>Tochten J</v>
      </c>
      <c r="C10" s="64"/>
      <c r="D10" s="64">
        <v>0.40200000000000002</v>
      </c>
      <c r="E10" s="64"/>
      <c r="F10" s="64"/>
      <c r="G10" s="64"/>
      <c r="H10" s="64"/>
      <c r="I10" s="64">
        <v>0.46300000000000002</v>
      </c>
      <c r="J10" s="64"/>
      <c r="K10" s="64"/>
      <c r="L10" s="64"/>
      <c r="M10" s="64"/>
      <c r="N10" s="64"/>
      <c r="O10" s="64"/>
      <c r="P10" s="81" t="s">
        <v>430</v>
      </c>
      <c r="Q10" s="59"/>
      <c r="R10" s="59">
        <v>0.48</v>
      </c>
      <c r="S10" s="59">
        <v>-0.03</v>
      </c>
      <c r="T10" s="59">
        <f>VLOOKUP(A10,WLs!$A$4:$J$23,10,FALSE)</f>
        <v>0.45</v>
      </c>
      <c r="U10" s="82" t="s">
        <v>431</v>
      </c>
      <c r="V10" s="56">
        <v>-3.7499999999999978E-2</v>
      </c>
      <c r="W10" s="56" t="s">
        <v>432</v>
      </c>
      <c r="X10" s="56">
        <v>0.45999999999999996</v>
      </c>
      <c r="Y10" s="81" t="s">
        <v>430</v>
      </c>
      <c r="Z10" s="59">
        <v>0.46</v>
      </c>
      <c r="AA10" s="84">
        <v>0.46</v>
      </c>
      <c r="AB10" s="56" t="s">
        <v>433</v>
      </c>
      <c r="AC10" s="56">
        <f t="shared" si="32"/>
        <v>1.2199999999999999E-2</v>
      </c>
      <c r="AD10" s="65">
        <f t="shared" si="33"/>
        <v>1</v>
      </c>
      <c r="AE10" s="59">
        <v>0.35</v>
      </c>
      <c r="AF10" s="59" t="s">
        <v>434</v>
      </c>
      <c r="AH10" s="67">
        <f t="shared" si="17"/>
        <v>0.4325</v>
      </c>
      <c r="AI10" s="68">
        <f t="shared" si="18"/>
        <v>1.2199999999999999E-2</v>
      </c>
      <c r="AJ10" s="68">
        <f t="shared" si="34"/>
        <v>1</v>
      </c>
      <c r="AK10" s="69" t="str">
        <f t="shared" si="19"/>
        <v/>
      </c>
      <c r="AL10" s="69">
        <f t="shared" si="20"/>
        <v>-9.149999999999997E-2</v>
      </c>
      <c r="AM10" s="69" t="str">
        <f t="shared" si="21"/>
        <v/>
      </c>
      <c r="AN10" s="69" t="str">
        <f t="shared" si="22"/>
        <v/>
      </c>
      <c r="AO10" s="69" t="str">
        <f t="shared" si="23"/>
        <v/>
      </c>
      <c r="AP10" s="69" t="str">
        <f t="shared" si="24"/>
        <v/>
      </c>
      <c r="AQ10" s="69">
        <f t="shared" si="25"/>
        <v>3.0500000000000027E-2</v>
      </c>
      <c r="AR10" s="69" t="str">
        <f t="shared" si="26"/>
        <v/>
      </c>
      <c r="AS10" s="69" t="str">
        <f t="shared" si="27"/>
        <v/>
      </c>
      <c r="AT10" s="69" t="str">
        <f t="shared" si="28"/>
        <v/>
      </c>
      <c r="AU10" s="69" t="str">
        <f t="shared" si="29"/>
        <v/>
      </c>
      <c r="AV10" s="69" t="str">
        <f t="shared" si="30"/>
        <v/>
      </c>
      <c r="AW10" s="69" t="str">
        <f t="shared" si="31"/>
        <v/>
      </c>
      <c r="AX10" s="52" t="s">
        <v>163</v>
      </c>
      <c r="AY10" s="72" t="e">
        <f t="shared" si="38"/>
        <v>#REF!</v>
      </c>
      <c r="AZ10" s="23">
        <v>7</v>
      </c>
      <c r="BA10" s="23">
        <v>2</v>
      </c>
      <c r="BB10" s="23" t="str">
        <f t="shared" si="35"/>
        <v>Berekening met concentratie nutriënten gelijk aan norm</v>
      </c>
      <c r="BC10" s="23">
        <f t="shared" si="36"/>
        <v>0.46</v>
      </c>
    </row>
    <row r="11" spans="1:55" s="66" customFormat="1" ht="100.8" x14ac:dyDescent="0.3">
      <c r="A11" s="63">
        <v>8</v>
      </c>
      <c r="B11" s="53" t="str">
        <f>WLs!C11</f>
        <v>Tochten lage afdeling NOP</v>
      </c>
      <c r="C11" s="64"/>
      <c r="D11" s="64"/>
      <c r="E11" s="64">
        <v>0.46400000000000002</v>
      </c>
      <c r="F11" s="64"/>
      <c r="G11" s="64"/>
      <c r="H11" s="64"/>
      <c r="I11" s="64"/>
      <c r="J11" s="64"/>
      <c r="K11" s="64">
        <v>0.57099999999999995</v>
      </c>
      <c r="L11" s="64"/>
      <c r="M11" s="64"/>
      <c r="N11" s="64"/>
      <c r="O11" s="64"/>
      <c r="P11" s="59">
        <v>0.44</v>
      </c>
      <c r="Q11" s="59" t="s">
        <v>435</v>
      </c>
      <c r="R11" s="59">
        <v>0.46</v>
      </c>
      <c r="S11" s="59">
        <v>-0.01</v>
      </c>
      <c r="T11" s="59">
        <f>VLOOKUP(A11,WLs!$A$4:$J$23,10,FALSE)</f>
        <v>0.45</v>
      </c>
      <c r="U11" s="56">
        <v>0.46400000000000002</v>
      </c>
      <c r="V11" s="56">
        <v>2.4000000000000021E-2</v>
      </c>
      <c r="W11" s="56" t="s">
        <v>436</v>
      </c>
      <c r="X11" s="56">
        <v>0.5</v>
      </c>
      <c r="Y11" s="59">
        <v>0.56999999999999995</v>
      </c>
      <c r="Z11" s="59">
        <v>0.57999999999999996</v>
      </c>
      <c r="AA11" s="84">
        <v>0.62</v>
      </c>
      <c r="AB11" s="56">
        <v>0.57099999999999995</v>
      </c>
      <c r="AC11" s="56">
        <f t="shared" si="32"/>
        <v>1.7833333333333323E-2</v>
      </c>
      <c r="AD11" s="65">
        <f t="shared" si="33"/>
        <v>1</v>
      </c>
      <c r="AE11" s="59">
        <v>0.47</v>
      </c>
      <c r="AF11" s="59" t="s">
        <v>437</v>
      </c>
      <c r="AH11" s="67">
        <f t="shared" si="17"/>
        <v>0.51749999999999996</v>
      </c>
      <c r="AI11" s="68">
        <f t="shared" si="18"/>
        <v>1.7833333333333323E-2</v>
      </c>
      <c r="AJ11" s="68">
        <f t="shared" si="34"/>
        <v>1</v>
      </c>
      <c r="AK11" s="69" t="str">
        <f t="shared" si="19"/>
        <v/>
      </c>
      <c r="AL11" s="69" t="str">
        <f t="shared" si="20"/>
        <v/>
      </c>
      <c r="AM11" s="69">
        <f t="shared" si="21"/>
        <v>-0.12483333333333323</v>
      </c>
      <c r="AN11" s="69" t="str">
        <f t="shared" si="22"/>
        <v/>
      </c>
      <c r="AO11" s="69" t="str">
        <f t="shared" si="23"/>
        <v/>
      </c>
      <c r="AP11" s="69" t="str">
        <f t="shared" si="24"/>
        <v/>
      </c>
      <c r="AQ11" s="69" t="str">
        <f t="shared" si="25"/>
        <v/>
      </c>
      <c r="AR11" s="69" t="str">
        <f t="shared" si="26"/>
        <v/>
      </c>
      <c r="AS11" s="69">
        <f t="shared" si="27"/>
        <v>8.9166666666666644E-2</v>
      </c>
      <c r="AT11" s="69" t="str">
        <f t="shared" si="28"/>
        <v/>
      </c>
      <c r="AU11" s="69" t="str">
        <f t="shared" si="29"/>
        <v/>
      </c>
      <c r="AV11" s="69" t="str">
        <f t="shared" si="30"/>
        <v/>
      </c>
      <c r="AW11" s="69" t="str">
        <f t="shared" si="31"/>
        <v/>
      </c>
      <c r="AX11" s="52" t="s">
        <v>163</v>
      </c>
      <c r="AY11" s="72" t="e">
        <f t="shared" si="38"/>
        <v>#REF!</v>
      </c>
      <c r="AZ11" s="23">
        <v>8</v>
      </c>
      <c r="BA11" s="23">
        <v>2</v>
      </c>
      <c r="BB11" s="23" t="str">
        <f t="shared" si="35"/>
        <v>Berekening met concentratie nutriënten gelijk aan norm</v>
      </c>
      <c r="BC11" s="23">
        <f t="shared" si="36"/>
        <v>0.62</v>
      </c>
    </row>
    <row r="12" spans="1:55" s="66" customFormat="1" ht="61.5" customHeight="1" x14ac:dyDescent="0.3">
      <c r="A12" s="63">
        <v>9</v>
      </c>
      <c r="B12" s="53" t="str">
        <f>WLs!C12</f>
        <v>Tochten hoge afdeling NOP</v>
      </c>
      <c r="C12" s="64"/>
      <c r="D12" s="64"/>
      <c r="E12" s="64"/>
      <c r="F12" s="64"/>
      <c r="G12" s="64"/>
      <c r="H12" s="64"/>
      <c r="I12" s="64"/>
      <c r="J12" s="64"/>
      <c r="K12" s="64">
        <v>0.60299999999999998</v>
      </c>
      <c r="L12" s="64"/>
      <c r="M12" s="64"/>
      <c r="N12" s="64"/>
      <c r="O12" s="64"/>
      <c r="P12" s="140" t="s">
        <v>438</v>
      </c>
      <c r="Q12" s="59" t="s">
        <v>439</v>
      </c>
      <c r="R12" s="59"/>
      <c r="S12" s="59"/>
      <c r="T12" s="59">
        <f>VLOOKUP(A12,WLs!$A$4:$J$23,10,FALSE)</f>
        <v>0.5</v>
      </c>
      <c r="U12" s="82" t="s">
        <v>440</v>
      </c>
      <c r="V12" s="56">
        <v>0.14000000000000001</v>
      </c>
      <c r="W12" s="56" t="s">
        <v>441</v>
      </c>
      <c r="X12" s="56">
        <v>0.61</v>
      </c>
      <c r="Y12" s="59">
        <v>0.6</v>
      </c>
      <c r="Z12" s="84">
        <v>0.62</v>
      </c>
      <c r="AA12" s="59">
        <v>0.61</v>
      </c>
      <c r="AB12" s="56">
        <v>0.60299999999999998</v>
      </c>
      <c r="AC12" s="56">
        <f t="shared" si="32"/>
        <v>0</v>
      </c>
      <c r="AD12" s="65">
        <f t="shared" si="33"/>
        <v>0</v>
      </c>
      <c r="AE12" s="59">
        <v>0.57999999999999996</v>
      </c>
      <c r="AF12" s="59" t="s">
        <v>442</v>
      </c>
      <c r="AH12" s="67">
        <f t="shared" si="17"/>
        <v>0.60299999999999998</v>
      </c>
      <c r="AI12" s="68"/>
      <c r="AJ12" s="68"/>
      <c r="AK12" s="69"/>
      <c r="AL12" s="69"/>
      <c r="AM12" s="69"/>
      <c r="AN12" s="69"/>
      <c r="AO12" s="69"/>
      <c r="AP12" s="69"/>
      <c r="AQ12" s="69"/>
      <c r="AR12" s="69"/>
      <c r="AS12" s="69"/>
      <c r="AT12" s="69"/>
      <c r="AU12" s="69"/>
      <c r="AV12" s="69"/>
      <c r="AW12" s="69"/>
      <c r="AX12" s="52" t="s">
        <v>163</v>
      </c>
      <c r="AY12" s="72" t="e">
        <f t="shared" si="38"/>
        <v>#REF!</v>
      </c>
      <c r="AZ12" s="23">
        <v>9</v>
      </c>
      <c r="BA12" s="23">
        <v>1</v>
      </c>
      <c r="BB12" s="23" t="str">
        <f t="shared" si="35"/>
        <v>Landelijke tussenevaluatie</v>
      </c>
      <c r="BC12" s="23">
        <f t="shared" si="36"/>
        <v>0.62</v>
      </c>
    </row>
    <row r="13" spans="1:55" s="66" customFormat="1" ht="158.4" x14ac:dyDescent="0.3">
      <c r="A13" s="63">
        <v>10</v>
      </c>
      <c r="B13" s="53" t="str">
        <f>WLs!C13</f>
        <v>Vaarten NOP</v>
      </c>
      <c r="C13" s="64"/>
      <c r="D13" s="64"/>
      <c r="E13" s="64">
        <v>0.68300000000000005</v>
      </c>
      <c r="F13" s="64"/>
      <c r="G13" s="64"/>
      <c r="H13" s="64"/>
      <c r="I13" s="64"/>
      <c r="J13" s="64"/>
      <c r="K13" s="64">
        <v>0.71099999999999997</v>
      </c>
      <c r="L13" s="64"/>
      <c r="M13" s="64"/>
      <c r="N13" s="64"/>
      <c r="O13" s="64"/>
      <c r="P13" s="59">
        <v>0.67</v>
      </c>
      <c r="Q13" s="59" t="s">
        <v>443</v>
      </c>
      <c r="R13" s="59"/>
      <c r="S13" s="59"/>
      <c r="T13" s="59">
        <f>VLOOKUP(A13,WLs!$A$4:$J$23,10,FALSE)</f>
        <v>0.6</v>
      </c>
      <c r="U13" s="56">
        <v>0.68300000000000005</v>
      </c>
      <c r="V13" s="56">
        <v>1.3000000000000012E-2</v>
      </c>
      <c r="W13" s="56" t="s">
        <v>444</v>
      </c>
      <c r="X13" s="56">
        <v>0.75</v>
      </c>
      <c r="Y13" s="59">
        <v>0.71</v>
      </c>
      <c r="Z13" s="84">
        <v>0.72</v>
      </c>
      <c r="AA13" s="59">
        <v>0.69</v>
      </c>
      <c r="AB13" s="56">
        <v>0.71099999999999997</v>
      </c>
      <c r="AC13" s="56">
        <f t="shared" si="32"/>
        <v>4.6666666666666523E-3</v>
      </c>
      <c r="AD13" s="65">
        <f t="shared" si="33"/>
        <v>1</v>
      </c>
      <c r="AE13" s="59">
        <v>0.6</v>
      </c>
      <c r="AF13" s="59" t="s">
        <v>445</v>
      </c>
      <c r="AH13" s="67">
        <f t="shared" si="17"/>
        <v>0.69700000000000006</v>
      </c>
      <c r="AI13" s="68">
        <f>SLOPE(C13:O13,C$3:O$3)</f>
        <v>4.6666666666666523E-3</v>
      </c>
      <c r="AJ13" s="68">
        <f t="shared" si="34"/>
        <v>1</v>
      </c>
      <c r="AK13" s="69" t="str">
        <f t="shared" ref="AK13:AW16" si="39">IF(C13="","",C13-$AH13+AK$2*$AI13)</f>
        <v/>
      </c>
      <c r="AL13" s="69" t="str">
        <f t="shared" si="39"/>
        <v/>
      </c>
      <c r="AM13" s="69">
        <f t="shared" si="39"/>
        <v>-3.2666666666666622E-2</v>
      </c>
      <c r="AN13" s="69" t="str">
        <f t="shared" si="39"/>
        <v/>
      </c>
      <c r="AO13" s="69" t="str">
        <f t="shared" si="39"/>
        <v/>
      </c>
      <c r="AP13" s="69" t="str">
        <f t="shared" si="39"/>
        <v/>
      </c>
      <c r="AQ13" s="69" t="str">
        <f t="shared" si="39"/>
        <v/>
      </c>
      <c r="AR13" s="69" t="str">
        <f t="shared" si="39"/>
        <v/>
      </c>
      <c r="AS13" s="69">
        <f t="shared" si="39"/>
        <v>2.3333333333333206E-2</v>
      </c>
      <c r="AT13" s="69" t="str">
        <f t="shared" si="39"/>
        <v/>
      </c>
      <c r="AU13" s="69" t="str">
        <f t="shared" si="39"/>
        <v/>
      </c>
      <c r="AV13" s="69" t="str">
        <f t="shared" si="39"/>
        <v/>
      </c>
      <c r="AW13" s="69" t="str">
        <f t="shared" si="39"/>
        <v/>
      </c>
      <c r="AX13" s="70" t="s">
        <v>165</v>
      </c>
      <c r="AY13" s="71">
        <f>_xlfn.STDEV.S(AK13:AW15)</f>
        <v>0.16498567839080483</v>
      </c>
      <c r="AZ13" s="23">
        <v>10</v>
      </c>
      <c r="BA13" s="23">
        <v>1</v>
      </c>
      <c r="BB13" s="23" t="str">
        <f t="shared" si="35"/>
        <v>Landelijke tussenevaluatie</v>
      </c>
      <c r="BC13" s="23">
        <f t="shared" si="36"/>
        <v>0.72</v>
      </c>
    </row>
    <row r="14" spans="1:55" s="66" customFormat="1" ht="137.55000000000001" customHeight="1" x14ac:dyDescent="0.3">
      <c r="A14" s="63">
        <v>11</v>
      </c>
      <c r="B14" s="53" t="str">
        <f>WLs!C14</f>
        <v>Vaarten hoge afdeling ZOF</v>
      </c>
      <c r="C14" s="64"/>
      <c r="D14" s="64"/>
      <c r="E14" s="64"/>
      <c r="F14" s="64"/>
      <c r="G14" s="64"/>
      <c r="H14" s="64"/>
      <c r="I14" s="64">
        <v>0.53700000000000003</v>
      </c>
      <c r="J14" s="64"/>
      <c r="K14" s="64"/>
      <c r="L14" s="64"/>
      <c r="M14" s="64"/>
      <c r="N14" s="64">
        <v>0.59099999999999997</v>
      </c>
      <c r="O14" s="64"/>
      <c r="P14" s="59">
        <v>0.52</v>
      </c>
      <c r="Q14" s="59" t="s">
        <v>425</v>
      </c>
      <c r="R14" s="59"/>
      <c r="S14" s="59"/>
      <c r="T14" s="59">
        <f>VLOOKUP(A14,WLs!$A$4:$J$23,10,FALSE)</f>
        <v>0.55000000000000004</v>
      </c>
      <c r="U14" s="56">
        <v>0.53700000000000003</v>
      </c>
      <c r="V14" s="56">
        <v>1.7000000000000015E-2</v>
      </c>
      <c r="W14" s="56" t="s">
        <v>446</v>
      </c>
      <c r="X14" s="56">
        <v>0.59</v>
      </c>
      <c r="Y14" s="59">
        <v>0.54</v>
      </c>
      <c r="Z14" s="59">
        <v>0.54</v>
      </c>
      <c r="AA14" s="84">
        <v>0.53</v>
      </c>
      <c r="AB14" s="56">
        <v>0.59099999999999997</v>
      </c>
      <c r="AC14" s="56">
        <f t="shared" si="32"/>
        <v>1.0799999999999987E-2</v>
      </c>
      <c r="AD14" s="65">
        <f t="shared" si="33"/>
        <v>1</v>
      </c>
      <c r="AE14" s="59">
        <v>0.56000000000000005</v>
      </c>
      <c r="AF14" s="59" t="s">
        <v>447</v>
      </c>
      <c r="AH14" s="67">
        <f t="shared" si="17"/>
        <v>0.56400000000000006</v>
      </c>
      <c r="AI14" s="68">
        <f>SLOPE(C14:O14,C$3:O$3)</f>
        <v>1.0799999999999987E-2</v>
      </c>
      <c r="AJ14" s="68">
        <f t="shared" si="34"/>
        <v>1</v>
      </c>
      <c r="AK14" s="69" t="str">
        <f t="shared" si="39"/>
        <v/>
      </c>
      <c r="AL14" s="69" t="str">
        <f t="shared" si="39"/>
        <v/>
      </c>
      <c r="AM14" s="69" t="str">
        <f t="shared" si="39"/>
        <v/>
      </c>
      <c r="AN14" s="69" t="str">
        <f t="shared" si="39"/>
        <v/>
      </c>
      <c r="AO14" s="69" t="str">
        <f t="shared" si="39"/>
        <v/>
      </c>
      <c r="AP14" s="69" t="str">
        <f t="shared" si="39"/>
        <v/>
      </c>
      <c r="AQ14" s="69">
        <f t="shared" si="39"/>
        <v>-2.7000000000000024E-2</v>
      </c>
      <c r="AR14" s="69" t="str">
        <f t="shared" si="39"/>
        <v/>
      </c>
      <c r="AS14" s="69" t="str">
        <f t="shared" si="39"/>
        <v/>
      </c>
      <c r="AT14" s="69" t="str">
        <f t="shared" si="39"/>
        <v/>
      </c>
      <c r="AU14" s="69" t="str">
        <f t="shared" si="39"/>
        <v/>
      </c>
      <c r="AV14" s="69">
        <f t="shared" si="39"/>
        <v>8.099999999999985E-2</v>
      </c>
      <c r="AW14" s="69" t="str">
        <f t="shared" si="39"/>
        <v/>
      </c>
      <c r="AX14" s="73" t="s">
        <v>165</v>
      </c>
      <c r="AY14" s="72">
        <f>AY13</f>
        <v>0.16498567839080483</v>
      </c>
      <c r="AZ14" s="23">
        <v>11</v>
      </c>
      <c r="BA14" s="23">
        <v>2</v>
      </c>
      <c r="BB14" s="23" t="str">
        <f t="shared" si="35"/>
        <v>Berekening met concentratie nutriënten gelijk aan norm</v>
      </c>
      <c r="BC14" s="23">
        <f t="shared" si="36"/>
        <v>0.53</v>
      </c>
    </row>
    <row r="15" spans="1:55" s="66" customFormat="1" ht="115.2" x14ac:dyDescent="0.3">
      <c r="A15" s="63">
        <v>12</v>
      </c>
      <c r="B15" s="53" t="str">
        <f>WLs!C15</f>
        <v>Vaarten lage afdeling ZOF</v>
      </c>
      <c r="C15" s="64">
        <v>0.68400000000000005</v>
      </c>
      <c r="D15" s="64"/>
      <c r="E15" s="64"/>
      <c r="F15" s="64"/>
      <c r="G15" s="64"/>
      <c r="H15" s="64"/>
      <c r="I15" s="64">
        <v>0.44700000000000001</v>
      </c>
      <c r="J15" s="64"/>
      <c r="K15" s="64"/>
      <c r="L15" s="64"/>
      <c r="M15" s="64"/>
      <c r="N15" s="64"/>
      <c r="O15" s="64"/>
      <c r="P15" s="59">
        <v>0.44</v>
      </c>
      <c r="Q15" s="59" t="s">
        <v>354</v>
      </c>
      <c r="R15" s="59"/>
      <c r="S15" s="59"/>
      <c r="T15" s="59">
        <f>VLOOKUP(A15,WLs!$A$4:$J$23,10,FALSE)</f>
        <v>0.5</v>
      </c>
      <c r="U15" s="56">
        <v>0.44700000000000001</v>
      </c>
      <c r="V15" s="56">
        <v>7.0000000000000062E-3</v>
      </c>
      <c r="W15" s="56" t="s">
        <v>448</v>
      </c>
      <c r="X15" s="56">
        <v>0.5</v>
      </c>
      <c r="Y15" s="59">
        <v>0.45</v>
      </c>
      <c r="Z15" s="84">
        <v>0.44</v>
      </c>
      <c r="AA15" s="59">
        <v>0.41</v>
      </c>
      <c r="AB15" s="82" t="s">
        <v>449</v>
      </c>
      <c r="AC15" s="56">
        <f t="shared" si="32"/>
        <v>-3.9500000000000007E-2</v>
      </c>
      <c r="AD15" s="65">
        <f t="shared" si="33"/>
        <v>1.0000000000000004</v>
      </c>
      <c r="AE15" s="59">
        <v>0.47</v>
      </c>
      <c r="AF15" s="59" t="s">
        <v>450</v>
      </c>
      <c r="AH15" s="67">
        <f t="shared" si="17"/>
        <v>0.5655</v>
      </c>
      <c r="AI15" s="68">
        <f>SLOPE(C15:O15,C$3:O$3)</f>
        <v>-3.9500000000000007E-2</v>
      </c>
      <c r="AJ15" s="68">
        <f t="shared" si="34"/>
        <v>1.0000000000000004</v>
      </c>
      <c r="AK15" s="69">
        <f t="shared" si="39"/>
        <v>0.35550000000000009</v>
      </c>
      <c r="AL15" s="69" t="str">
        <f t="shared" si="39"/>
        <v/>
      </c>
      <c r="AM15" s="69" t="str">
        <f t="shared" si="39"/>
        <v/>
      </c>
      <c r="AN15" s="69" t="str">
        <f t="shared" si="39"/>
        <v/>
      </c>
      <c r="AO15" s="69" t="str">
        <f t="shared" si="39"/>
        <v/>
      </c>
      <c r="AP15" s="69" t="str">
        <f t="shared" si="39"/>
        <v/>
      </c>
      <c r="AQ15" s="69">
        <f t="shared" si="39"/>
        <v>-0.11849999999999999</v>
      </c>
      <c r="AR15" s="69" t="str">
        <f t="shared" si="39"/>
        <v/>
      </c>
      <c r="AS15" s="69" t="str">
        <f t="shared" si="39"/>
        <v/>
      </c>
      <c r="AT15" s="69" t="str">
        <f t="shared" si="39"/>
        <v/>
      </c>
      <c r="AU15" s="69" t="str">
        <f t="shared" si="39"/>
        <v/>
      </c>
      <c r="AV15" s="69" t="str">
        <f t="shared" si="39"/>
        <v/>
      </c>
      <c r="AW15" s="69" t="str">
        <f t="shared" si="39"/>
        <v/>
      </c>
      <c r="AX15" s="73" t="s">
        <v>165</v>
      </c>
      <c r="AY15" s="72">
        <f>AY14</f>
        <v>0.16498567839080483</v>
      </c>
      <c r="AZ15" s="23">
        <v>12</v>
      </c>
      <c r="BA15" s="23">
        <v>1</v>
      </c>
      <c r="BB15" s="23" t="str">
        <f t="shared" si="35"/>
        <v>Landelijke tussenevaluatie</v>
      </c>
      <c r="BC15" s="23">
        <f t="shared" si="36"/>
        <v>0.44</v>
      </c>
    </row>
    <row r="16" spans="1:55" s="66" customFormat="1" ht="105.75" customHeight="1" x14ac:dyDescent="0.3">
      <c r="A16" s="63">
        <v>13</v>
      </c>
      <c r="B16" s="53" t="str">
        <f>WLs!C16</f>
        <v>Bovenwater</v>
      </c>
      <c r="C16" s="64"/>
      <c r="D16" s="64">
        <v>0.26200000000000001</v>
      </c>
      <c r="E16" s="64"/>
      <c r="F16" s="64"/>
      <c r="G16" s="64"/>
      <c r="H16" s="64"/>
      <c r="I16" s="64"/>
      <c r="J16" s="64">
        <v>0.34300000000000003</v>
      </c>
      <c r="K16" s="64"/>
      <c r="L16" s="64"/>
      <c r="M16" s="64"/>
      <c r="N16" s="64"/>
      <c r="O16" s="64"/>
      <c r="P16" s="59">
        <v>0.34</v>
      </c>
      <c r="Q16" s="59" t="s">
        <v>451</v>
      </c>
      <c r="R16" s="59">
        <v>0.33999999999999997</v>
      </c>
      <c r="S16" s="59">
        <v>-0.04</v>
      </c>
      <c r="T16" s="59">
        <f>VLOOKUP(A16,WLs!$A$4:$J$23,10,FALSE)</f>
        <v>0.3</v>
      </c>
      <c r="U16" s="90" t="s">
        <v>452</v>
      </c>
      <c r="V16" s="90">
        <v>0</v>
      </c>
      <c r="W16" s="56" t="s">
        <v>305</v>
      </c>
      <c r="X16" s="90" t="s">
        <v>452</v>
      </c>
      <c r="Y16" s="59">
        <v>0.34</v>
      </c>
      <c r="Z16" s="59">
        <v>0.35</v>
      </c>
      <c r="AA16" s="84">
        <v>0.39</v>
      </c>
      <c r="AB16" s="141" t="s">
        <v>453</v>
      </c>
      <c r="AC16" s="56">
        <f t="shared" si="32"/>
        <v>1.3500000000000003E-2</v>
      </c>
      <c r="AD16" s="65">
        <f t="shared" si="33"/>
        <v>1.0000000000000004</v>
      </c>
      <c r="AE16" s="59">
        <v>0.31</v>
      </c>
      <c r="AF16" s="59" t="s">
        <v>454</v>
      </c>
      <c r="AH16" s="67">
        <f t="shared" si="17"/>
        <v>0.30249999999999999</v>
      </c>
      <c r="AI16" s="68">
        <f>SLOPE(C16:O16,C$3:O$3)</f>
        <v>1.3500000000000003E-2</v>
      </c>
      <c r="AJ16" s="68">
        <f t="shared" si="34"/>
        <v>1.0000000000000004</v>
      </c>
      <c r="AK16" s="69" t="str">
        <f t="shared" si="39"/>
        <v/>
      </c>
      <c r="AL16" s="69">
        <f t="shared" si="39"/>
        <v>-0.108</v>
      </c>
      <c r="AM16" s="69" t="str">
        <f t="shared" si="39"/>
        <v/>
      </c>
      <c r="AN16" s="69" t="str">
        <f t="shared" si="39"/>
        <v/>
      </c>
      <c r="AO16" s="69" t="str">
        <f t="shared" si="39"/>
        <v/>
      </c>
      <c r="AP16" s="69" t="str">
        <f t="shared" si="39"/>
        <v/>
      </c>
      <c r="AQ16" s="69" t="str">
        <f t="shared" si="39"/>
        <v/>
      </c>
      <c r="AR16" s="69">
        <f t="shared" si="39"/>
        <v>5.4000000000000041E-2</v>
      </c>
      <c r="AS16" s="69" t="str">
        <f t="shared" si="39"/>
        <v/>
      </c>
      <c r="AT16" s="69" t="str">
        <f t="shared" si="39"/>
        <v/>
      </c>
      <c r="AU16" s="69" t="str">
        <f t="shared" si="39"/>
        <v/>
      </c>
      <c r="AV16" s="69" t="str">
        <f t="shared" si="39"/>
        <v/>
      </c>
      <c r="AW16" s="69" t="str">
        <f t="shared" si="39"/>
        <v/>
      </c>
      <c r="AX16" s="70" t="s">
        <v>166</v>
      </c>
      <c r="AY16" s="71">
        <f>_xlfn.STDEV.S(AK16:AW19,AK21:AW22)</f>
        <v>0.16669935235049374</v>
      </c>
      <c r="AZ16" s="23">
        <v>13</v>
      </c>
      <c r="BA16" s="23">
        <v>2</v>
      </c>
      <c r="BB16" s="23" t="str">
        <f t="shared" si="35"/>
        <v>Berekening met concentratie nutriënten gelijk aan norm</v>
      </c>
      <c r="BC16" s="23">
        <f t="shared" si="36"/>
        <v>0.39</v>
      </c>
    </row>
    <row r="17" spans="1:55" s="66" customFormat="1" ht="61.5" customHeight="1" x14ac:dyDescent="0.3">
      <c r="A17" s="63">
        <v>14</v>
      </c>
      <c r="B17" s="53" t="str">
        <f>WLs!C17</f>
        <v>Harderbroek (oude deel)</v>
      </c>
      <c r="C17" s="64"/>
      <c r="D17" s="64"/>
      <c r="E17" s="64"/>
      <c r="F17" s="64"/>
      <c r="G17" s="64"/>
      <c r="H17" s="64">
        <v>0.32400000000000001</v>
      </c>
      <c r="I17" s="64"/>
      <c r="J17" s="64"/>
      <c r="K17" s="64"/>
      <c r="L17" s="64"/>
      <c r="M17" s="64"/>
      <c r="N17" s="64"/>
      <c r="O17" s="64"/>
      <c r="P17" s="59" t="s">
        <v>164</v>
      </c>
      <c r="Q17" s="59" t="s">
        <v>310</v>
      </c>
      <c r="R17" s="59"/>
      <c r="S17" s="59"/>
      <c r="T17" s="59">
        <f>VLOOKUP(A17,WLs!$A$4:$J$23,10,FALSE)</f>
        <v>0.4</v>
      </c>
      <c r="U17" s="56">
        <v>0.32400000000000001</v>
      </c>
      <c r="V17" s="56"/>
      <c r="W17" s="56" t="s">
        <v>455</v>
      </c>
      <c r="X17" s="56">
        <v>0.37</v>
      </c>
      <c r="Y17" s="59">
        <v>0.15</v>
      </c>
      <c r="Z17" s="59">
        <v>0.15</v>
      </c>
      <c r="AA17" s="84">
        <v>0.41</v>
      </c>
      <c r="AB17" s="56" t="s">
        <v>164</v>
      </c>
      <c r="AC17" s="56">
        <f t="shared" si="32"/>
        <v>0</v>
      </c>
      <c r="AD17" s="65">
        <f t="shared" si="33"/>
        <v>0</v>
      </c>
      <c r="AE17" s="59">
        <v>0.4</v>
      </c>
      <c r="AF17" s="59" t="s">
        <v>313</v>
      </c>
      <c r="AH17" s="67">
        <f t="shared" si="17"/>
        <v>0.32400000000000001</v>
      </c>
      <c r="AI17" s="68"/>
      <c r="AJ17" s="68"/>
      <c r="AK17" s="69"/>
      <c r="AL17" s="69"/>
      <c r="AM17" s="69"/>
      <c r="AN17" s="69"/>
      <c r="AO17" s="69"/>
      <c r="AP17" s="69"/>
      <c r="AQ17" s="69"/>
      <c r="AR17" s="69"/>
      <c r="AS17" s="69"/>
      <c r="AT17" s="69"/>
      <c r="AU17" s="69"/>
      <c r="AV17" s="69"/>
      <c r="AW17" s="69"/>
      <c r="AX17" s="73" t="s">
        <v>166</v>
      </c>
      <c r="AY17" s="72">
        <f>AY16</f>
        <v>0.16669935235049374</v>
      </c>
      <c r="AZ17" s="23">
        <v>14</v>
      </c>
      <c r="BA17" s="23">
        <v>2</v>
      </c>
      <c r="BB17" s="23" t="str">
        <f t="shared" si="35"/>
        <v>Berekening met concentratie nutriënten gelijk aan norm</v>
      </c>
      <c r="BC17" s="23">
        <f t="shared" si="36"/>
        <v>0.41</v>
      </c>
    </row>
    <row r="18" spans="1:55" s="66" customFormat="1" ht="64.5" customHeight="1" x14ac:dyDescent="0.3">
      <c r="A18" s="63">
        <v>15</v>
      </c>
      <c r="B18" s="53" t="str">
        <f>WLs!C18</f>
        <v>Harderbroek Roerdomp</v>
      </c>
      <c r="C18" s="64"/>
      <c r="D18" s="64"/>
      <c r="E18" s="64"/>
      <c r="F18" s="64"/>
      <c r="G18" s="64"/>
      <c r="H18" s="64">
        <v>0.158</v>
      </c>
      <c r="I18" s="64"/>
      <c r="J18" s="64"/>
      <c r="K18" s="64"/>
      <c r="L18" s="64"/>
      <c r="M18" s="64"/>
      <c r="N18" s="64">
        <v>0</v>
      </c>
      <c r="O18" s="64"/>
      <c r="P18" s="59" t="s">
        <v>164</v>
      </c>
      <c r="Q18" s="59" t="s">
        <v>305</v>
      </c>
      <c r="R18" s="59"/>
      <c r="S18" s="59"/>
      <c r="T18" s="59">
        <f>VLOOKUP(A18,WLs!$A$4:$J$23,10,FALSE)</f>
        <v>0.1</v>
      </c>
      <c r="U18" s="56">
        <v>0.158</v>
      </c>
      <c r="V18" s="56"/>
      <c r="W18" s="56" t="s">
        <v>314</v>
      </c>
      <c r="X18" s="56">
        <v>0.16</v>
      </c>
      <c r="Y18" s="59">
        <v>0.16</v>
      </c>
      <c r="Z18" s="59">
        <v>0.17</v>
      </c>
      <c r="AA18" s="84">
        <v>0.08</v>
      </c>
      <c r="AB18" s="56">
        <v>0</v>
      </c>
      <c r="AC18" s="56">
        <f t="shared" si="32"/>
        <v>-2.6333333333333334E-2</v>
      </c>
      <c r="AD18" s="65">
        <f t="shared" si="33"/>
        <v>1</v>
      </c>
      <c r="AE18" s="59">
        <v>0.1</v>
      </c>
      <c r="AF18" s="59" t="s">
        <v>456</v>
      </c>
      <c r="AH18" s="67">
        <f t="shared" si="17"/>
        <v>7.9000000000000001E-2</v>
      </c>
      <c r="AI18" s="68">
        <f>SLOPE(C18:O18,C$3:O$3)</f>
        <v>-2.6333333333333334E-2</v>
      </c>
      <c r="AJ18" s="68">
        <f t="shared" si="34"/>
        <v>1</v>
      </c>
      <c r="AK18" s="69" t="str">
        <f t="shared" ref="AK18:AW18" si="40">IF(C18="","",C18-$AH18+AK$2*$AI18)</f>
        <v/>
      </c>
      <c r="AL18" s="69" t="str">
        <f t="shared" si="40"/>
        <v/>
      </c>
      <c r="AM18" s="69" t="str">
        <f t="shared" si="40"/>
        <v/>
      </c>
      <c r="AN18" s="69" t="str">
        <f t="shared" si="40"/>
        <v/>
      </c>
      <c r="AO18" s="69" t="str">
        <f t="shared" si="40"/>
        <v/>
      </c>
      <c r="AP18" s="69">
        <f t="shared" si="40"/>
        <v>0.10533333333333333</v>
      </c>
      <c r="AQ18" s="69" t="str">
        <f t="shared" si="40"/>
        <v/>
      </c>
      <c r="AR18" s="69" t="str">
        <f t="shared" si="40"/>
        <v/>
      </c>
      <c r="AS18" s="69" t="str">
        <f t="shared" si="40"/>
        <v/>
      </c>
      <c r="AT18" s="69" t="str">
        <f t="shared" si="40"/>
        <v/>
      </c>
      <c r="AU18" s="69" t="str">
        <f t="shared" si="40"/>
        <v/>
      </c>
      <c r="AV18" s="69">
        <f t="shared" si="40"/>
        <v>-0.21066666666666667</v>
      </c>
      <c r="AW18" s="69" t="str">
        <f t="shared" si="40"/>
        <v/>
      </c>
      <c r="AX18" s="73" t="s">
        <v>166</v>
      </c>
      <c r="AY18" s="72">
        <f t="shared" ref="AY18:AY19" si="41">AY17</f>
        <v>0.16669935235049374</v>
      </c>
      <c r="AZ18" s="23">
        <v>15</v>
      </c>
      <c r="BA18" s="23">
        <v>2</v>
      </c>
      <c r="BB18" s="23" t="str">
        <f t="shared" si="35"/>
        <v>Berekening met concentratie nutriënten gelijk aan norm</v>
      </c>
      <c r="BC18" s="23">
        <f t="shared" si="36"/>
        <v>0.08</v>
      </c>
    </row>
    <row r="19" spans="1:55" s="66" customFormat="1" ht="60.75" customHeight="1" x14ac:dyDescent="0.3">
      <c r="A19" s="63">
        <v>16</v>
      </c>
      <c r="B19" s="53" t="str">
        <f>WLs!C19</f>
        <v>Lepelaarplassen</v>
      </c>
      <c r="C19" s="64"/>
      <c r="D19" s="64"/>
      <c r="E19" s="64"/>
      <c r="F19" s="64"/>
      <c r="G19" s="64"/>
      <c r="H19" s="64"/>
      <c r="I19" s="64"/>
      <c r="J19" s="64">
        <v>0.61899999999999999</v>
      </c>
      <c r="K19" s="64"/>
      <c r="L19" s="64"/>
      <c r="M19" s="64"/>
      <c r="N19" s="64"/>
      <c r="O19" s="64"/>
      <c r="P19" s="59">
        <v>0.62</v>
      </c>
      <c r="Q19" s="59" t="s">
        <v>305</v>
      </c>
      <c r="R19" s="59">
        <v>0.62</v>
      </c>
      <c r="S19" s="59">
        <v>-0.22</v>
      </c>
      <c r="T19" s="59">
        <f>VLOOKUP(A19,WLs!$A$4:$J$23,10,FALSE)</f>
        <v>0.4</v>
      </c>
      <c r="U19" s="82" t="s">
        <v>457</v>
      </c>
      <c r="V19" s="56">
        <v>-1.0000000000000009E-3</v>
      </c>
      <c r="W19" s="56" t="s">
        <v>314</v>
      </c>
      <c r="X19" s="56">
        <v>0.62</v>
      </c>
      <c r="Y19" s="59">
        <v>0.62</v>
      </c>
      <c r="Z19" s="84">
        <v>0.62</v>
      </c>
      <c r="AA19" s="59">
        <v>0.4</v>
      </c>
      <c r="AB19" s="56" t="s">
        <v>458</v>
      </c>
      <c r="AC19" s="56">
        <f t="shared" si="32"/>
        <v>0</v>
      </c>
      <c r="AD19" s="65">
        <f t="shared" si="33"/>
        <v>0</v>
      </c>
      <c r="AE19" s="59">
        <v>0.4</v>
      </c>
      <c r="AF19" s="59" t="s">
        <v>318</v>
      </c>
      <c r="AH19" s="67">
        <f t="shared" si="17"/>
        <v>0.61899999999999999</v>
      </c>
      <c r="AI19" s="68"/>
      <c r="AJ19" s="68"/>
      <c r="AK19" s="69"/>
      <c r="AL19" s="69"/>
      <c r="AM19" s="69"/>
      <c r="AN19" s="69"/>
      <c r="AO19" s="69"/>
      <c r="AP19" s="69"/>
      <c r="AQ19" s="69"/>
      <c r="AR19" s="69"/>
      <c r="AS19" s="69"/>
      <c r="AT19" s="69"/>
      <c r="AU19" s="69"/>
      <c r="AV19" s="69"/>
      <c r="AW19" s="69"/>
      <c r="AX19" s="73" t="s">
        <v>166</v>
      </c>
      <c r="AY19" s="72">
        <f t="shared" si="41"/>
        <v>0.16669935235049374</v>
      </c>
      <c r="AZ19" s="23">
        <v>16</v>
      </c>
      <c r="BA19" s="23">
        <v>1</v>
      </c>
      <c r="BB19" s="23" t="str">
        <f t="shared" si="35"/>
        <v>Landelijke tussenevaluatie</v>
      </c>
      <c r="BC19" s="23">
        <f t="shared" si="36"/>
        <v>0.62</v>
      </c>
    </row>
    <row r="20" spans="1:55" s="66" customFormat="1" ht="75.75" customHeight="1" x14ac:dyDescent="0.3">
      <c r="A20" s="63">
        <v>17</v>
      </c>
      <c r="B20" s="53" t="str">
        <f>WLs!C20</f>
        <v>Noorderplassen</v>
      </c>
      <c r="C20" s="64"/>
      <c r="D20" s="64">
        <v>0.53700000000000003</v>
      </c>
      <c r="E20" s="64"/>
      <c r="F20" s="64"/>
      <c r="G20" s="64"/>
      <c r="H20" s="64"/>
      <c r="I20" s="64"/>
      <c r="J20" s="64">
        <v>0.39900000000000002</v>
      </c>
      <c r="K20" s="64"/>
      <c r="L20" s="64"/>
      <c r="M20" s="64"/>
      <c r="N20" s="64"/>
      <c r="O20" s="64"/>
      <c r="P20" s="59">
        <v>0.41</v>
      </c>
      <c r="Q20" s="59" t="s">
        <v>360</v>
      </c>
      <c r="R20" s="59"/>
      <c r="S20" s="59"/>
      <c r="T20" s="59">
        <f>VLOOKUP(A20,WLs!$A$4:$J$23,10,FALSE)</f>
        <v>0.5</v>
      </c>
      <c r="U20" s="56">
        <v>0.53700000000000003</v>
      </c>
      <c r="V20" s="56">
        <v>0.12700000000000006</v>
      </c>
      <c r="W20" s="56" t="s">
        <v>459</v>
      </c>
      <c r="X20" s="56">
        <v>0.6</v>
      </c>
      <c r="Y20" s="59">
        <v>0.4</v>
      </c>
      <c r="Z20" s="84">
        <v>0.4</v>
      </c>
      <c r="AA20" s="59">
        <v>0.33</v>
      </c>
      <c r="AB20" s="56">
        <v>0.39900000000000002</v>
      </c>
      <c r="AC20" s="56">
        <f t="shared" si="32"/>
        <v>-2.3000000000000003E-2</v>
      </c>
      <c r="AD20" s="65">
        <f t="shared" si="33"/>
        <v>1.0000000000000004</v>
      </c>
      <c r="AE20" s="59">
        <v>0.56999999999999995</v>
      </c>
      <c r="AF20" s="59" t="s">
        <v>460</v>
      </c>
      <c r="AH20" s="67">
        <f t="shared" si="17"/>
        <v>0.46800000000000003</v>
      </c>
      <c r="AI20" s="68">
        <f>SLOPE(C20:O20,C$3:O$3)</f>
        <v>-2.3000000000000003E-2</v>
      </c>
      <c r="AJ20" s="68">
        <f t="shared" si="34"/>
        <v>1.0000000000000004</v>
      </c>
      <c r="AK20" s="69" t="str">
        <f t="shared" ref="AK20:AW20" si="42">IF(C20="","",C20-$AH20+AK$2*$AI20)</f>
        <v/>
      </c>
      <c r="AL20" s="69">
        <f t="shared" si="42"/>
        <v>0.18400000000000002</v>
      </c>
      <c r="AM20" s="69" t="str">
        <f t="shared" si="42"/>
        <v/>
      </c>
      <c r="AN20" s="69" t="str">
        <f t="shared" si="42"/>
        <v/>
      </c>
      <c r="AO20" s="69" t="str">
        <f t="shared" si="42"/>
        <v/>
      </c>
      <c r="AP20" s="69" t="str">
        <f t="shared" si="42"/>
        <v/>
      </c>
      <c r="AQ20" s="69" t="str">
        <f t="shared" si="42"/>
        <v/>
      </c>
      <c r="AR20" s="69">
        <f t="shared" si="42"/>
        <v>-9.2000000000000012E-2</v>
      </c>
      <c r="AS20" s="69" t="str">
        <f t="shared" si="42"/>
        <v/>
      </c>
      <c r="AT20" s="69" t="str">
        <f t="shared" si="42"/>
        <v/>
      </c>
      <c r="AU20" s="69" t="str">
        <f t="shared" si="42"/>
        <v/>
      </c>
      <c r="AV20" s="69" t="str">
        <f t="shared" si="42"/>
        <v/>
      </c>
      <c r="AW20" s="69" t="str">
        <f t="shared" si="42"/>
        <v/>
      </c>
      <c r="AX20" s="70" t="s">
        <v>167</v>
      </c>
      <c r="AY20" s="71">
        <f>_xlfn.STDEV.S(AK20:AW20,AK23:AW23)</f>
        <v>0.19707443602185781</v>
      </c>
      <c r="AZ20" s="23">
        <v>17</v>
      </c>
      <c r="BA20" s="23">
        <v>1</v>
      </c>
      <c r="BB20" s="23" t="str">
        <f t="shared" si="35"/>
        <v>Landelijke tussenevaluatie</v>
      </c>
      <c r="BC20" s="23">
        <f t="shared" si="36"/>
        <v>0.4</v>
      </c>
    </row>
    <row r="21" spans="1:55" s="66" customFormat="1" ht="108" customHeight="1" x14ac:dyDescent="0.3">
      <c r="A21" s="63">
        <v>18</v>
      </c>
      <c r="B21" s="53" t="str">
        <f>WLs!C21</f>
        <v>Oostvaardersplassen</v>
      </c>
      <c r="C21" s="64"/>
      <c r="D21" s="64"/>
      <c r="E21" s="64"/>
      <c r="F21" s="64"/>
      <c r="G21" s="64"/>
      <c r="H21" s="64"/>
      <c r="I21" s="64"/>
      <c r="J21" s="64"/>
      <c r="K21" s="64"/>
      <c r="L21" s="64"/>
      <c r="M21" s="64"/>
      <c r="N21" s="64"/>
      <c r="O21" s="64"/>
      <c r="P21" s="59">
        <v>0.01</v>
      </c>
      <c r="Q21" s="59" t="s">
        <v>305</v>
      </c>
      <c r="R21" s="59">
        <v>0.01</v>
      </c>
      <c r="S21" s="59">
        <v>0</v>
      </c>
      <c r="T21" s="59">
        <f>VLOOKUP(A21,WLs!$A$4:$J$23,10,FALSE)</f>
        <v>0.01</v>
      </c>
      <c r="U21" s="82" t="s">
        <v>461</v>
      </c>
      <c r="V21" s="56"/>
      <c r="W21" s="56" t="s">
        <v>320</v>
      </c>
      <c r="X21" s="56"/>
      <c r="Y21" s="59"/>
      <c r="Z21" s="59" t="s">
        <v>462</v>
      </c>
      <c r="AA21" s="59" t="s">
        <v>462</v>
      </c>
      <c r="AB21" s="56"/>
      <c r="AC21" s="56">
        <f t="shared" si="32"/>
        <v>0</v>
      </c>
      <c r="AD21" s="65">
        <f>AJ21</f>
        <v>0</v>
      </c>
      <c r="AE21" s="59">
        <v>0.01</v>
      </c>
      <c r="AF21" s="59" t="s">
        <v>321</v>
      </c>
      <c r="AH21" s="67"/>
      <c r="AI21" s="68"/>
      <c r="AJ21" s="68"/>
      <c r="AK21" s="69"/>
      <c r="AL21" s="69"/>
      <c r="AM21" s="69"/>
      <c r="AN21" s="69"/>
      <c r="AO21" s="69"/>
      <c r="AP21" s="69"/>
      <c r="AQ21" s="69"/>
      <c r="AR21" s="69"/>
      <c r="AS21" s="69"/>
      <c r="AT21" s="69"/>
      <c r="AU21" s="69"/>
      <c r="AV21" s="69"/>
      <c r="AW21" s="69"/>
      <c r="AX21" s="73" t="s">
        <v>166</v>
      </c>
      <c r="AY21" s="72">
        <f>AY19</f>
        <v>0.16669935235049374</v>
      </c>
      <c r="AZ21" s="23">
        <v>18</v>
      </c>
      <c r="BA21" s="23">
        <v>1</v>
      </c>
      <c r="BB21" s="23" t="str">
        <f t="shared" si="35"/>
        <v>Landelijke tussenevaluatie</v>
      </c>
      <c r="BC21" s="23" t="str">
        <f t="shared" si="36"/>
        <v>Niet berekend</v>
      </c>
    </row>
    <row r="22" spans="1:55" s="66" customFormat="1" ht="93.75" customHeight="1" x14ac:dyDescent="0.3">
      <c r="A22" s="63">
        <v>19</v>
      </c>
      <c r="B22" s="53" t="str">
        <f>WLs!C22</f>
        <v>Vollenhover- en Kadoelermeer</v>
      </c>
      <c r="C22" s="64"/>
      <c r="D22" s="64"/>
      <c r="E22" s="64"/>
      <c r="F22" s="64">
        <v>0.38800000000000001</v>
      </c>
      <c r="G22" s="64"/>
      <c r="H22" s="64"/>
      <c r="I22" s="64"/>
      <c r="J22" s="64"/>
      <c r="K22" s="64"/>
      <c r="L22" s="64"/>
      <c r="M22" s="64">
        <v>0.57699999999999996</v>
      </c>
      <c r="N22" s="64"/>
      <c r="O22" s="64"/>
      <c r="P22" s="59">
        <v>0.39</v>
      </c>
      <c r="Q22" s="59" t="s">
        <v>305</v>
      </c>
      <c r="R22" s="59">
        <v>0.38999999999999996</v>
      </c>
      <c r="S22" s="59">
        <v>-0.04</v>
      </c>
      <c r="T22" s="59">
        <f>VLOOKUP(A22,WLs!$A$4:$J$23,10,FALSE)</f>
        <v>0.35</v>
      </c>
      <c r="U22" s="56">
        <v>0.38800000000000001</v>
      </c>
      <c r="V22" s="56">
        <v>-2.0000000000000018E-3</v>
      </c>
      <c r="W22" s="56" t="s">
        <v>305</v>
      </c>
      <c r="X22" s="56">
        <v>0.39</v>
      </c>
      <c r="Y22" s="59">
        <v>0.56000000000000005</v>
      </c>
      <c r="Z22" s="59" t="s">
        <v>462</v>
      </c>
      <c r="AA22" s="59" t="s">
        <v>462</v>
      </c>
      <c r="AB22" s="56">
        <v>0.57699999999999996</v>
      </c>
      <c r="AC22" s="56">
        <f t="shared" si="32"/>
        <v>2.6999999999999989E-2</v>
      </c>
      <c r="AD22" s="65">
        <f t="shared" si="33"/>
        <v>0.99999999999999956</v>
      </c>
      <c r="AE22" s="59">
        <v>0.35</v>
      </c>
      <c r="AF22" s="59" t="s">
        <v>463</v>
      </c>
      <c r="AH22" s="67">
        <f>AVERAGE(C22:O22)</f>
        <v>0.48249999999999998</v>
      </c>
      <c r="AI22" s="68">
        <f>SLOPE(C22:O22,C$3:O$3)</f>
        <v>2.6999999999999989E-2</v>
      </c>
      <c r="AJ22" s="68">
        <f t="shared" si="34"/>
        <v>0.99999999999999956</v>
      </c>
      <c r="AK22" s="69" t="str">
        <f t="shared" ref="AK22:AW23" si="43">IF(C22="","",C22-$AH22+AK$2*$AI22)</f>
        <v/>
      </c>
      <c r="AL22" s="69" t="str">
        <f t="shared" si="43"/>
        <v/>
      </c>
      <c r="AM22" s="69" t="str">
        <f t="shared" si="43"/>
        <v/>
      </c>
      <c r="AN22" s="69">
        <f t="shared" si="43"/>
        <v>-0.17549999999999993</v>
      </c>
      <c r="AO22" s="69" t="str">
        <f t="shared" si="43"/>
        <v/>
      </c>
      <c r="AP22" s="69" t="str">
        <f t="shared" si="43"/>
        <v/>
      </c>
      <c r="AQ22" s="69" t="str">
        <f t="shared" si="43"/>
        <v/>
      </c>
      <c r="AR22" s="69" t="str">
        <f t="shared" si="43"/>
        <v/>
      </c>
      <c r="AS22" s="69" t="str">
        <f t="shared" si="43"/>
        <v/>
      </c>
      <c r="AT22" s="69" t="str">
        <f t="shared" si="43"/>
        <v/>
      </c>
      <c r="AU22" s="69">
        <f t="shared" si="43"/>
        <v>0.20249999999999993</v>
      </c>
      <c r="AV22" s="69" t="str">
        <f t="shared" si="43"/>
        <v/>
      </c>
      <c r="AW22" s="69" t="str">
        <f t="shared" si="43"/>
        <v/>
      </c>
      <c r="AX22" s="73" t="s">
        <v>166</v>
      </c>
      <c r="AY22" s="72">
        <f>AY21</f>
        <v>0.16669935235049374</v>
      </c>
      <c r="AZ22" s="23">
        <v>19</v>
      </c>
      <c r="BA22" s="23">
        <v>2</v>
      </c>
      <c r="BB22" s="23" t="str">
        <f t="shared" si="35"/>
        <v>Berekening met concentratie nutriënten gelijk aan norm</v>
      </c>
      <c r="BC22" s="23" t="str">
        <f t="shared" si="36"/>
        <v>Niet berekend</v>
      </c>
    </row>
    <row r="23" spans="1:55" s="66" customFormat="1" ht="138" customHeight="1" x14ac:dyDescent="0.3">
      <c r="A23" s="63">
        <v>20</v>
      </c>
      <c r="B23" s="53" t="str">
        <f>WLs!C23</f>
        <v>Weerwater</v>
      </c>
      <c r="C23" s="64"/>
      <c r="D23" s="64">
        <v>0.44400000000000001</v>
      </c>
      <c r="E23" s="64"/>
      <c r="F23" s="64"/>
      <c r="G23" s="64"/>
      <c r="H23" s="64"/>
      <c r="I23" s="64"/>
      <c r="J23" s="64">
        <v>0.627</v>
      </c>
      <c r="K23" s="64"/>
      <c r="L23" s="64"/>
      <c r="M23" s="64"/>
      <c r="N23" s="64"/>
      <c r="O23" s="64"/>
      <c r="P23" s="81" t="s">
        <v>464</v>
      </c>
      <c r="Q23" s="59" t="s">
        <v>360</v>
      </c>
      <c r="R23" s="59">
        <v>0.5</v>
      </c>
      <c r="S23" s="59">
        <v>0</v>
      </c>
      <c r="T23" s="59">
        <f>VLOOKUP(A23,WLs!$A$4:$J$23,10,FALSE)</f>
        <v>0.5</v>
      </c>
      <c r="U23" s="56">
        <v>0.44400000000000001</v>
      </c>
      <c r="V23" s="56">
        <v>-6.0000000000000053E-3</v>
      </c>
      <c r="W23" s="56" t="s">
        <v>361</v>
      </c>
      <c r="X23" s="56">
        <v>0.49</v>
      </c>
      <c r="Y23" s="59">
        <v>0.63</v>
      </c>
      <c r="Z23" s="84">
        <v>0.63</v>
      </c>
      <c r="AA23" s="59">
        <v>0.53</v>
      </c>
      <c r="AB23" s="90" t="s">
        <v>422</v>
      </c>
      <c r="AC23" s="56">
        <f t="shared" si="32"/>
        <v>3.0499999999999996E-2</v>
      </c>
      <c r="AD23" s="65">
        <f t="shared" si="33"/>
        <v>1</v>
      </c>
      <c r="AE23" s="59">
        <v>0.5</v>
      </c>
      <c r="AF23" s="59" t="s">
        <v>465</v>
      </c>
      <c r="AH23" s="67">
        <f>AVERAGE(C23:O23)</f>
        <v>0.53549999999999998</v>
      </c>
      <c r="AI23" s="68">
        <f>SLOPE(C23:O23,C$3:O$3)</f>
        <v>3.0499999999999996E-2</v>
      </c>
      <c r="AJ23" s="68">
        <f t="shared" si="34"/>
        <v>1</v>
      </c>
      <c r="AK23" s="69" t="str">
        <f t="shared" si="43"/>
        <v/>
      </c>
      <c r="AL23" s="69">
        <f t="shared" si="43"/>
        <v>-0.24399999999999994</v>
      </c>
      <c r="AM23" s="69" t="str">
        <f t="shared" si="43"/>
        <v/>
      </c>
      <c r="AN23" s="69" t="str">
        <f t="shared" si="43"/>
        <v/>
      </c>
      <c r="AO23" s="69" t="str">
        <f t="shared" si="43"/>
        <v/>
      </c>
      <c r="AP23" s="69" t="str">
        <f t="shared" si="43"/>
        <v/>
      </c>
      <c r="AQ23" s="69" t="str">
        <f t="shared" si="43"/>
        <v/>
      </c>
      <c r="AR23" s="69">
        <f t="shared" si="43"/>
        <v>0.12200000000000003</v>
      </c>
      <c r="AS23" s="69" t="str">
        <f t="shared" si="43"/>
        <v/>
      </c>
      <c r="AT23" s="69" t="str">
        <f t="shared" si="43"/>
        <v/>
      </c>
      <c r="AU23" s="69" t="str">
        <f t="shared" si="43"/>
        <v/>
      </c>
      <c r="AV23" s="69" t="str">
        <f t="shared" si="43"/>
        <v/>
      </c>
      <c r="AW23" s="69" t="str">
        <f t="shared" si="43"/>
        <v/>
      </c>
      <c r="AX23" s="73" t="s">
        <v>167</v>
      </c>
      <c r="AY23" s="72">
        <f>AY20</f>
        <v>0.19707443602185781</v>
      </c>
      <c r="AZ23" s="23">
        <v>20</v>
      </c>
      <c r="BA23" s="23">
        <v>1</v>
      </c>
      <c r="BB23" s="23" t="str">
        <f t="shared" si="35"/>
        <v>Landelijke tussenevaluatie</v>
      </c>
      <c r="BC23" s="23">
        <f t="shared" si="36"/>
        <v>0.63</v>
      </c>
    </row>
  </sheetData>
  <mergeCells count="8">
    <mergeCell ref="AE2:AF2"/>
    <mergeCell ref="AB2:AD2"/>
    <mergeCell ref="Y2:AA2"/>
    <mergeCell ref="A2:A3"/>
    <mergeCell ref="B2:B3"/>
    <mergeCell ref="C2:O2"/>
    <mergeCell ref="P2:T2"/>
    <mergeCell ref="U2:X2"/>
  </mergeCells>
  <conditionalFormatting sqref="AI4:AI23">
    <cfRule type="cellIs" dxfId="38" priority="5" operator="greaterThan">
      <formula>0.01</formula>
    </cfRule>
    <cfRule type="cellIs" dxfId="37" priority="6" operator="lessThan">
      <formula>-0.01</formula>
    </cfRule>
  </conditionalFormatting>
  <conditionalFormatting sqref="AJ4:AJ23">
    <cfRule type="cellIs" dxfId="36" priority="4" operator="greaterThan">
      <formula>0.8</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4BAE-561B-45CB-A632-AFE25661D253}">
  <dimension ref="A1:AU42"/>
  <sheetViews>
    <sheetView workbookViewId="0"/>
  </sheetViews>
  <sheetFormatPr defaultRowHeight="14.4" x14ac:dyDescent="0.3"/>
  <cols>
    <col min="2" max="2" width="22.5546875" bestFit="1" customWidth="1"/>
    <col min="23" max="23" width="7.77734375" customWidth="1"/>
    <col min="25" max="25" width="5.44140625" customWidth="1"/>
    <col min="26" max="26" width="25.5546875" customWidth="1"/>
    <col min="27" max="47" width="7.5546875" customWidth="1"/>
    <col min="49" max="49" width="24.21875" bestFit="1" customWidth="1"/>
    <col min="50" max="55" width="11.77734375" customWidth="1"/>
  </cols>
  <sheetData>
    <row r="1" spans="1:47" x14ac:dyDescent="0.3">
      <c r="A1" s="18" t="s">
        <v>466</v>
      </c>
    </row>
    <row r="2" spans="1:47" x14ac:dyDescent="0.3">
      <c r="A2" s="18" t="s">
        <v>467</v>
      </c>
    </row>
    <row r="3" spans="1:47" x14ac:dyDescent="0.3">
      <c r="A3" s="18" t="s">
        <v>468</v>
      </c>
    </row>
    <row r="4" spans="1:47" x14ac:dyDescent="0.3">
      <c r="A4" s="133" t="s">
        <v>469</v>
      </c>
      <c r="Y4" s="133" t="s">
        <v>470</v>
      </c>
    </row>
    <row r="5" spans="1:47" ht="121.2" x14ac:dyDescent="0.3">
      <c r="A5" s="1" t="s">
        <v>149</v>
      </c>
      <c r="B5" s="1" t="s">
        <v>152</v>
      </c>
      <c r="C5" s="91" t="s">
        <v>93</v>
      </c>
      <c r="D5" s="91" t="s">
        <v>94</v>
      </c>
      <c r="E5" s="91" t="s">
        <v>95</v>
      </c>
      <c r="F5" s="91" t="s">
        <v>96</v>
      </c>
      <c r="G5" s="91" t="s">
        <v>97</v>
      </c>
      <c r="H5" s="91" t="s">
        <v>98</v>
      </c>
      <c r="I5" s="91" t="s">
        <v>99</v>
      </c>
      <c r="J5" s="91" t="s">
        <v>100</v>
      </c>
      <c r="K5" s="91" t="s">
        <v>101</v>
      </c>
      <c r="L5" s="91" t="s">
        <v>102</v>
      </c>
      <c r="M5" s="91" t="s">
        <v>103</v>
      </c>
      <c r="N5" s="91" t="s">
        <v>104</v>
      </c>
      <c r="O5" s="91" t="s">
        <v>105</v>
      </c>
      <c r="P5" s="91" t="s">
        <v>106</v>
      </c>
      <c r="Q5" s="91" t="s">
        <v>107</v>
      </c>
      <c r="R5" s="91" t="s">
        <v>108</v>
      </c>
      <c r="S5" s="91" t="s">
        <v>109</v>
      </c>
      <c r="T5" s="91" t="s">
        <v>110</v>
      </c>
      <c r="U5" s="91" t="s">
        <v>111</v>
      </c>
      <c r="V5" s="91" t="s">
        <v>112</v>
      </c>
      <c r="W5" s="91" t="s">
        <v>471</v>
      </c>
      <c r="Y5" s="1" t="s">
        <v>149</v>
      </c>
      <c r="Z5" s="1" t="s">
        <v>152</v>
      </c>
      <c r="AA5" s="91" t="s">
        <v>93</v>
      </c>
      <c r="AB5" s="91" t="s">
        <v>94</v>
      </c>
      <c r="AC5" s="91" t="s">
        <v>95</v>
      </c>
      <c r="AD5" s="91" t="s">
        <v>96</v>
      </c>
      <c r="AE5" s="91" t="s">
        <v>97</v>
      </c>
      <c r="AF5" s="91" t="s">
        <v>98</v>
      </c>
      <c r="AG5" s="91" t="s">
        <v>99</v>
      </c>
      <c r="AH5" s="91" t="s">
        <v>100</v>
      </c>
      <c r="AI5" s="91" t="s">
        <v>101</v>
      </c>
      <c r="AJ5" s="91" t="s">
        <v>102</v>
      </c>
      <c r="AK5" s="91" t="s">
        <v>103</v>
      </c>
      <c r="AL5" s="91" t="s">
        <v>104</v>
      </c>
      <c r="AM5" s="91" t="s">
        <v>105</v>
      </c>
      <c r="AN5" s="91" t="s">
        <v>106</v>
      </c>
      <c r="AO5" s="91" t="s">
        <v>107</v>
      </c>
      <c r="AP5" s="91" t="s">
        <v>108</v>
      </c>
      <c r="AQ5" s="91" t="s">
        <v>109</v>
      </c>
      <c r="AR5" s="91" t="s">
        <v>110</v>
      </c>
      <c r="AS5" s="91" t="s">
        <v>111</v>
      </c>
      <c r="AT5" s="91" t="s">
        <v>112</v>
      </c>
      <c r="AU5" s="91" t="s">
        <v>472</v>
      </c>
    </row>
    <row r="6" spans="1:47" x14ac:dyDescent="0.3">
      <c r="A6" s="2">
        <v>1</v>
      </c>
      <c r="B6" s="2" t="s">
        <v>186</v>
      </c>
      <c r="C6" s="20">
        <v>3.7665327402886882E-2</v>
      </c>
      <c r="D6" s="20">
        <v>6.6860825983977553E-3</v>
      </c>
      <c r="E6" s="20">
        <v>4.7198460507955906E-3</v>
      </c>
      <c r="F6" s="20">
        <v>8.8060277393450001E-5</v>
      </c>
      <c r="G6" s="20">
        <v>4.1357778858744622E-2</v>
      </c>
      <c r="H6" s="20">
        <v>1.2834574582645877E-2</v>
      </c>
      <c r="I6" s="20">
        <v>9.3938370825397022E-2</v>
      </c>
      <c r="J6" s="20">
        <v>0.72936689510605235</v>
      </c>
      <c r="K6" s="20">
        <v>4.3623425589067542E-3</v>
      </c>
      <c r="L6" s="20">
        <v>0</v>
      </c>
      <c r="M6" s="20">
        <v>1.1454840595553793E-2</v>
      </c>
      <c r="N6" s="20">
        <v>0</v>
      </c>
      <c r="O6" s="20">
        <v>0</v>
      </c>
      <c r="P6" s="20">
        <v>5.1438934603063174E-2</v>
      </c>
      <c r="Q6" s="20">
        <v>1.4758668355776704E-4</v>
      </c>
      <c r="R6" s="20">
        <v>3.9058428781900967E-3</v>
      </c>
      <c r="S6" s="20">
        <v>3.3036682230640484E-4</v>
      </c>
      <c r="T6" s="20">
        <v>0</v>
      </c>
      <c r="U6" s="20">
        <v>1.7031501561084648E-3</v>
      </c>
      <c r="V6" s="20">
        <v>0</v>
      </c>
      <c r="W6" s="20">
        <v>0.99999999999999978</v>
      </c>
      <c r="Y6" s="2">
        <v>1</v>
      </c>
      <c r="Z6" s="2" t="str">
        <f>VLOOKUP(Y6,WLs!$A$4:$C$23,3,FALSE)</f>
        <v>Tochten ABC1</v>
      </c>
      <c r="AA6" s="20">
        <v>2.2662897480580951E-2</v>
      </c>
      <c r="AB6" s="20">
        <v>3.7801764828510834E-3</v>
      </c>
      <c r="AC6" s="20">
        <v>3.1165250354115606E-3</v>
      </c>
      <c r="AD6" s="20">
        <v>3.8989271673365488E-5</v>
      </c>
      <c r="AE6" s="20">
        <v>2.9727808743044686E-2</v>
      </c>
      <c r="AF6" s="20">
        <v>9.2742855688958195E-3</v>
      </c>
      <c r="AG6" s="20">
        <v>6.1437317445271845E-2</v>
      </c>
      <c r="AH6" s="20">
        <v>0.78714348918056209</v>
      </c>
      <c r="AI6" s="20">
        <v>3.356430301521056E-3</v>
      </c>
      <c r="AJ6" s="20">
        <v>5.5829008923898984E-6</v>
      </c>
      <c r="AK6" s="20">
        <v>1.1959167646443966E-2</v>
      </c>
      <c r="AL6" s="20">
        <v>0</v>
      </c>
      <c r="AM6" s="20">
        <v>0</v>
      </c>
      <c r="AN6" s="20">
        <v>5.4965155222627814E-2</v>
      </c>
      <c r="AO6" s="20">
        <v>3.0813390006131572E-4</v>
      </c>
      <c r="AP6" s="20">
        <v>1.0737889134005371E-2</v>
      </c>
      <c r="AQ6" s="20">
        <v>3.724437845263983E-4</v>
      </c>
      <c r="AR6" s="20">
        <v>0</v>
      </c>
      <c r="AS6" s="20">
        <v>1.1137079016304387E-3</v>
      </c>
      <c r="AT6" s="20">
        <v>0</v>
      </c>
      <c r="AU6" s="20">
        <f>SUM(AA6:AT6)</f>
        <v>1.0000000000000002</v>
      </c>
    </row>
    <row r="7" spans="1:47" x14ac:dyDescent="0.3">
      <c r="A7" s="2">
        <v>2</v>
      </c>
      <c r="B7" s="2" t="s">
        <v>193</v>
      </c>
      <c r="C7" s="20">
        <v>6.5874910775546219E-2</v>
      </c>
      <c r="D7" s="20">
        <v>1.7437500050435272E-2</v>
      </c>
      <c r="E7" s="20">
        <v>1.5697709771368428E-2</v>
      </c>
      <c r="F7" s="20">
        <v>1.1717035727086611E-4</v>
      </c>
      <c r="G7" s="20">
        <v>7.9920234390272724E-2</v>
      </c>
      <c r="H7" s="20">
        <v>4.0932638589554343E-2</v>
      </c>
      <c r="I7" s="20">
        <v>2.1097635075365235E-2</v>
      </c>
      <c r="J7" s="20">
        <v>0.69773894921873303</v>
      </c>
      <c r="K7" s="20">
        <v>3.5515718709394324E-3</v>
      </c>
      <c r="L7" s="20">
        <v>0</v>
      </c>
      <c r="M7" s="20">
        <v>9.8430435983208348E-3</v>
      </c>
      <c r="N7" s="20">
        <v>0</v>
      </c>
      <c r="O7" s="20">
        <v>0</v>
      </c>
      <c r="P7" s="20">
        <v>4.2928374034800494E-2</v>
      </c>
      <c r="Q7" s="20">
        <v>1.3200193546776759E-4</v>
      </c>
      <c r="R7" s="20">
        <v>3.0874076184479226E-3</v>
      </c>
      <c r="S7" s="20">
        <v>2.6422889088271534E-4</v>
      </c>
      <c r="T7" s="20">
        <v>0</v>
      </c>
      <c r="U7" s="20">
        <v>1.376623822594712E-3</v>
      </c>
      <c r="V7" s="20">
        <v>0</v>
      </c>
      <c r="W7" s="20">
        <v>1</v>
      </c>
      <c r="Y7" s="2">
        <v>2</v>
      </c>
      <c r="Z7" s="2" t="str">
        <f>VLOOKUP(Y7,WLs!$A$4:$C$23,3,FALSE)</f>
        <v>Tochten ABC2</v>
      </c>
      <c r="AA7" s="20">
        <v>4.582275243111239E-2</v>
      </c>
      <c r="AB7" s="20">
        <v>1.208919533155588E-2</v>
      </c>
      <c r="AC7" s="20">
        <v>1.1411020006001244E-2</v>
      </c>
      <c r="AD7" s="20">
        <v>7.2387336175983383E-5</v>
      </c>
      <c r="AE7" s="20">
        <v>5.6124005970392944E-2</v>
      </c>
      <c r="AF7" s="20">
        <v>2.8679685881486741E-2</v>
      </c>
      <c r="AG7" s="20">
        <v>1.3920864045967341E-2</v>
      </c>
      <c r="AH7" s="20">
        <v>0.76245116968617088</v>
      </c>
      <c r="AI7" s="20">
        <v>2.7865709837467203E-3</v>
      </c>
      <c r="AJ7" s="20">
        <v>4.3863909657225811E-6</v>
      </c>
      <c r="AK7" s="20">
        <v>1.0368299609059405E-2</v>
      </c>
      <c r="AL7" s="20">
        <v>0</v>
      </c>
      <c r="AM7" s="20">
        <v>0</v>
      </c>
      <c r="AN7" s="20">
        <v>4.6356393716536166E-2</v>
      </c>
      <c r="AO7" s="20">
        <v>2.7657185383867894E-4</v>
      </c>
      <c r="AP7" s="20">
        <v>8.3755152479281225E-3</v>
      </c>
      <c r="AQ7" s="20">
        <v>2.9915381704270587E-4</v>
      </c>
      <c r="AR7" s="20">
        <v>0</v>
      </c>
      <c r="AS7" s="20">
        <v>9.6202769201914062E-4</v>
      </c>
      <c r="AT7" s="20">
        <v>0</v>
      </c>
      <c r="AU7" s="20">
        <f t="shared" ref="AU7:AU18" si="0">SUM(AA7:AT7)</f>
        <v>1</v>
      </c>
    </row>
    <row r="8" spans="1:47" x14ac:dyDescent="0.3">
      <c r="A8" s="2">
        <v>3</v>
      </c>
      <c r="B8" s="2" t="s">
        <v>197</v>
      </c>
      <c r="C8" s="20">
        <v>6.5248597739970077E-2</v>
      </c>
      <c r="D8" s="20">
        <v>1.0076350448470378E-2</v>
      </c>
      <c r="E8" s="20">
        <v>1.7562744591351306E-2</v>
      </c>
      <c r="F8" s="20">
        <v>4.9756109883397807E-5</v>
      </c>
      <c r="G8" s="20">
        <v>9.1878389704636368E-2</v>
      </c>
      <c r="H8" s="20">
        <v>2.6295056231875207E-2</v>
      </c>
      <c r="I8" s="20">
        <v>0.18271762073290881</v>
      </c>
      <c r="J8" s="20">
        <v>9.1411310481453761E-2</v>
      </c>
      <c r="K8" s="20">
        <v>2.6493939163837231E-3</v>
      </c>
      <c r="L8" s="20">
        <v>3.6478059537063277E-4</v>
      </c>
      <c r="M8" s="20">
        <v>9.4664834871633942E-3</v>
      </c>
      <c r="N8" s="20">
        <v>0</v>
      </c>
      <c r="O8" s="20">
        <v>0</v>
      </c>
      <c r="P8" s="20">
        <v>0.18526952118106549</v>
      </c>
      <c r="Q8" s="20">
        <v>0</v>
      </c>
      <c r="R8" s="20">
        <v>0.26926736955157315</v>
      </c>
      <c r="S8" s="20">
        <v>1.9602686169272729E-2</v>
      </c>
      <c r="T8" s="20">
        <v>5.0616576544258241E-4</v>
      </c>
      <c r="U8" s="20">
        <v>1.6879717627224993E-2</v>
      </c>
      <c r="V8" s="20">
        <v>1.0754055665953999E-2</v>
      </c>
      <c r="W8" s="20">
        <v>1</v>
      </c>
      <c r="Y8" s="2">
        <v>3</v>
      </c>
      <c r="Z8" s="2" t="str">
        <f>VLOOKUP(Y8,WLs!$A$4:$C$23,3,FALSE)</f>
        <v>Tochten DE Almere</v>
      </c>
      <c r="AA8" s="20">
        <v>4.7193494934788457E-2</v>
      </c>
      <c r="AB8" s="20">
        <v>6.7424173384330053E-3</v>
      </c>
      <c r="AC8" s="20">
        <v>1.2778916450650574E-2</v>
      </c>
      <c r="AD8" s="20">
        <v>3.0913921514793293E-5</v>
      </c>
      <c r="AE8" s="20">
        <v>6.6402320797708497E-2</v>
      </c>
      <c r="AF8" s="20">
        <v>1.951019861204038E-2</v>
      </c>
      <c r="AG8" s="20">
        <v>0.11580941016990216</v>
      </c>
      <c r="AH8" s="20">
        <v>9.6547372954490035E-2</v>
      </c>
      <c r="AI8" s="20">
        <v>1.9541377821962534E-3</v>
      </c>
      <c r="AJ8" s="20">
        <v>3.8940163223738456E-4</v>
      </c>
      <c r="AK8" s="20">
        <v>7.5497635916707507E-3</v>
      </c>
      <c r="AL8" s="20">
        <v>0</v>
      </c>
      <c r="AM8" s="20">
        <v>0</v>
      </c>
      <c r="AN8" s="20">
        <v>0.18733054597289753</v>
      </c>
      <c r="AO8" s="20">
        <v>0</v>
      </c>
      <c r="AP8" s="20">
        <v>0.40824715258671063</v>
      </c>
      <c r="AQ8" s="20">
        <v>1.361868932986267E-2</v>
      </c>
      <c r="AR8" s="20">
        <v>4.7379896747171325E-4</v>
      </c>
      <c r="AS8" s="20">
        <v>1.6958892476740355E-3</v>
      </c>
      <c r="AT8" s="20">
        <v>1.3725575709750946E-2</v>
      </c>
      <c r="AU8" s="20">
        <f t="shared" si="0"/>
        <v>0.99999999999999978</v>
      </c>
    </row>
    <row r="9" spans="1:47" x14ac:dyDescent="0.3">
      <c r="A9" s="2">
        <v>4</v>
      </c>
      <c r="B9" s="2" t="s">
        <v>201</v>
      </c>
      <c r="C9" s="20">
        <v>7.2098324024887916E-2</v>
      </c>
      <c r="D9" s="20">
        <v>2.7164556927897359E-2</v>
      </c>
      <c r="E9" s="20">
        <v>3.2281069833952125E-2</v>
      </c>
      <c r="F9" s="20">
        <v>8.0000247839802981E-5</v>
      </c>
      <c r="G9" s="20">
        <v>4.8722819756503818E-2</v>
      </c>
      <c r="H9" s="20">
        <v>7.3000762570691616E-2</v>
      </c>
      <c r="I9" s="20">
        <v>4.0590464856148027E-2</v>
      </c>
      <c r="J9" s="20">
        <v>0.47921428697199703</v>
      </c>
      <c r="K9" s="20">
        <v>1.0052912332789101E-2</v>
      </c>
      <c r="L9" s="20">
        <v>2.3500267046860096E-4</v>
      </c>
      <c r="M9" s="20">
        <v>1.5694186229217519E-2</v>
      </c>
      <c r="N9" s="20">
        <v>0</v>
      </c>
      <c r="O9" s="20">
        <v>0</v>
      </c>
      <c r="P9" s="20">
        <v>0.10341910038746149</v>
      </c>
      <c r="Q9" s="20">
        <v>0</v>
      </c>
      <c r="R9" s="20">
        <v>9.5342037793653758E-2</v>
      </c>
      <c r="S9" s="20">
        <v>4.9744830844794573E-4</v>
      </c>
      <c r="T9" s="20">
        <v>4.6714874622559739E-4</v>
      </c>
      <c r="U9" s="20">
        <v>1.1398783418186101E-3</v>
      </c>
      <c r="V9" s="20">
        <v>0</v>
      </c>
      <c r="W9" s="20">
        <v>1.0000000000000002</v>
      </c>
      <c r="Y9" s="2">
        <v>4</v>
      </c>
      <c r="Z9" s="2" t="str">
        <f>VLOOKUP(Y9,WLs!$A$4:$C$23,3,FALSE)</f>
        <v>Tochten DE Zuidlob</v>
      </c>
      <c r="AA9" s="20">
        <v>5.3005073739221351E-2</v>
      </c>
      <c r="AB9" s="20">
        <v>2.0628929493734911E-2</v>
      </c>
      <c r="AC9" s="20">
        <v>2.5782477372992916E-2</v>
      </c>
      <c r="AD9" s="20">
        <v>5.2301557408176629E-5</v>
      </c>
      <c r="AE9" s="20">
        <v>3.6068959620421226E-2</v>
      </c>
      <c r="AF9" s="20">
        <v>5.3910459482926179E-2</v>
      </c>
      <c r="AG9" s="20">
        <v>2.7635880070011345E-2</v>
      </c>
      <c r="AH9" s="20">
        <v>0.52819609134883339</v>
      </c>
      <c r="AI9" s="20">
        <v>7.7379414966375522E-3</v>
      </c>
      <c r="AJ9" s="20">
        <v>1.2206844518545015E-4</v>
      </c>
      <c r="AK9" s="20">
        <v>1.6512246615659119E-2</v>
      </c>
      <c r="AL9" s="20">
        <v>0</v>
      </c>
      <c r="AM9" s="20">
        <v>0</v>
      </c>
      <c r="AN9" s="20">
        <v>0.10473185928890442</v>
      </c>
      <c r="AO9" s="20">
        <v>0</v>
      </c>
      <c r="AP9" s="20">
        <v>0.12350677061159093</v>
      </c>
      <c r="AQ9" s="20">
        <v>5.2916154931568506E-4</v>
      </c>
      <c r="AR9" s="20">
        <v>4.5631576937808619E-4</v>
      </c>
      <c r="AS9" s="20">
        <v>1.1234635377793054E-3</v>
      </c>
      <c r="AT9" s="20">
        <v>0</v>
      </c>
      <c r="AU9" s="20">
        <f t="shared" si="0"/>
        <v>0.99999999999999989</v>
      </c>
    </row>
    <row r="10" spans="1:47" x14ac:dyDescent="0.3">
      <c r="A10" s="2">
        <v>5</v>
      </c>
      <c r="B10" s="2" t="s">
        <v>204</v>
      </c>
      <c r="C10" s="20">
        <v>7.3661677545348234E-2</v>
      </c>
      <c r="D10" s="20">
        <v>2.4723845950355317E-2</v>
      </c>
      <c r="E10" s="20">
        <v>4.3253168207362101E-2</v>
      </c>
      <c r="F10" s="20">
        <v>7.3401197649639911E-5</v>
      </c>
      <c r="G10" s="20">
        <v>4.1363217440215996E-2</v>
      </c>
      <c r="H10" s="20">
        <v>6.2001575525908133E-2</v>
      </c>
      <c r="I10" s="20">
        <v>1.4034165287693327E-2</v>
      </c>
      <c r="J10" s="20">
        <v>0.64777740686708296</v>
      </c>
      <c r="K10" s="20">
        <v>3.7144741353842907E-3</v>
      </c>
      <c r="L10" s="20">
        <v>1.0510327155404362E-6</v>
      </c>
      <c r="M10" s="20">
        <v>1.3869326786534008E-2</v>
      </c>
      <c r="N10" s="20">
        <v>3.3470323807771894E-4</v>
      </c>
      <c r="O10" s="20">
        <v>0</v>
      </c>
      <c r="P10" s="20">
        <v>2.6663020998607387E-2</v>
      </c>
      <c r="Q10" s="20">
        <v>5.2916310817229145E-6</v>
      </c>
      <c r="R10" s="20">
        <v>4.0039026998725413E-2</v>
      </c>
      <c r="S10" s="20">
        <v>1.7100168548340431E-3</v>
      </c>
      <c r="T10" s="20">
        <v>3.2928274716476977E-5</v>
      </c>
      <c r="U10" s="20">
        <v>2.1619639410777295E-3</v>
      </c>
      <c r="V10" s="20">
        <v>4.5797380866300112E-3</v>
      </c>
      <c r="W10" s="20">
        <v>1</v>
      </c>
      <c r="Y10" s="2">
        <v>5</v>
      </c>
      <c r="Z10" s="2" t="str">
        <f>VLOOKUP(Y10,WLs!$A$4:$C$23,3,FALSE)</f>
        <v>Tochten FGIK</v>
      </c>
      <c r="AA10" s="20">
        <v>5.2457700988073834E-2</v>
      </c>
      <c r="AB10" s="20">
        <v>1.779462023130261E-2</v>
      </c>
      <c r="AC10" s="20">
        <v>3.0146324359178404E-2</v>
      </c>
      <c r="AD10" s="20">
        <v>5.0236116412099786E-5</v>
      </c>
      <c r="AE10" s="20">
        <v>2.881759752919065E-2</v>
      </c>
      <c r="AF10" s="20">
        <v>4.3898690306290324E-2</v>
      </c>
      <c r="AG10" s="20">
        <v>1.0863206145248249E-2</v>
      </c>
      <c r="AH10" s="20">
        <v>0.70047182819719289</v>
      </c>
      <c r="AI10" s="20">
        <v>2.6538840390716001E-3</v>
      </c>
      <c r="AJ10" s="20">
        <v>3.024889963158484E-5</v>
      </c>
      <c r="AK10" s="20">
        <v>1.3713919888077358E-2</v>
      </c>
      <c r="AL10" s="20">
        <v>7.4479164573751009E-4</v>
      </c>
      <c r="AM10" s="20">
        <v>0</v>
      </c>
      <c r="AN10" s="20">
        <v>3.0803171161987497E-2</v>
      </c>
      <c r="AO10" s="20">
        <v>1.9446996407993874E-5</v>
      </c>
      <c r="AP10" s="20">
        <v>5.5728149107832387E-2</v>
      </c>
      <c r="AQ10" s="20">
        <v>1.7261687589411638E-3</v>
      </c>
      <c r="AR10" s="20">
        <v>6.2195132577674015E-5</v>
      </c>
      <c r="AS10" s="20">
        <v>1.949298437671089E-3</v>
      </c>
      <c r="AT10" s="20">
        <v>8.0685220591751056E-3</v>
      </c>
      <c r="AU10" s="20">
        <f t="shared" si="0"/>
        <v>1</v>
      </c>
    </row>
    <row r="11" spans="1:47" x14ac:dyDescent="0.3">
      <c r="A11" s="2">
        <v>6</v>
      </c>
      <c r="B11" s="2" t="s">
        <v>208</v>
      </c>
      <c r="C11" s="20">
        <v>5.2964825706949409E-2</v>
      </c>
      <c r="D11" s="20">
        <v>1.7451808402065221E-2</v>
      </c>
      <c r="E11" s="20">
        <v>2.748934149039851E-2</v>
      </c>
      <c r="F11" s="20">
        <v>5.2942415219275774E-5</v>
      </c>
      <c r="G11" s="20">
        <v>2.2508303106869614E-2</v>
      </c>
      <c r="H11" s="20">
        <v>4.2935987342203295E-2</v>
      </c>
      <c r="I11" s="20">
        <v>6.4726481019448659E-3</v>
      </c>
      <c r="J11" s="20">
        <v>0.76549772820562634</v>
      </c>
      <c r="K11" s="20">
        <v>2.148914712086667E-3</v>
      </c>
      <c r="L11" s="20">
        <v>1.4199301333044057E-4</v>
      </c>
      <c r="M11" s="20">
        <v>1.1783462450385866E-2</v>
      </c>
      <c r="N11" s="20">
        <v>3.0522038063230347E-3</v>
      </c>
      <c r="O11" s="20">
        <v>0</v>
      </c>
      <c r="P11" s="20">
        <v>1.713333855927418E-2</v>
      </c>
      <c r="Q11" s="20">
        <v>1.679054659480209E-4</v>
      </c>
      <c r="R11" s="20">
        <v>5.3862957699696793E-3</v>
      </c>
      <c r="S11" s="20">
        <v>1.3555014159847333E-4</v>
      </c>
      <c r="T11" s="20">
        <v>3.002773621268173E-4</v>
      </c>
      <c r="U11" s="20">
        <v>1.7848703528131353E-3</v>
      </c>
      <c r="V11" s="20">
        <v>2.2591603594867306E-2</v>
      </c>
      <c r="W11" s="20">
        <v>1</v>
      </c>
      <c r="Y11" s="2">
        <v>6</v>
      </c>
      <c r="Z11" s="2" t="str">
        <f>VLOOKUP(Y11,WLs!$A$4:$C$23,3,FALSE)</f>
        <v>Tochten H</v>
      </c>
      <c r="AA11" s="20">
        <v>3.7159403599906118E-2</v>
      </c>
      <c r="AB11" s="20">
        <v>1.2386436684022247E-2</v>
      </c>
      <c r="AC11" s="20">
        <v>1.8500276610304085E-2</v>
      </c>
      <c r="AD11" s="20">
        <v>3.5148010402569176E-5</v>
      </c>
      <c r="AE11" s="20">
        <v>1.7049900894365904E-2</v>
      </c>
      <c r="AF11" s="20">
        <v>3.0168930818457149E-2</v>
      </c>
      <c r="AG11" s="20">
        <v>4.8081740025468856E-3</v>
      </c>
      <c r="AH11" s="20">
        <v>0.80338484676315658</v>
      </c>
      <c r="AI11" s="20">
        <v>1.8377008038716152E-3</v>
      </c>
      <c r="AJ11" s="20">
        <v>1.2452051959756672E-4</v>
      </c>
      <c r="AK11" s="20">
        <v>1.186261600293304E-2</v>
      </c>
      <c r="AL11" s="20">
        <v>3.9369928306154066E-3</v>
      </c>
      <c r="AM11" s="20">
        <v>0</v>
      </c>
      <c r="AN11" s="20">
        <v>1.8253321110495116E-2</v>
      </c>
      <c r="AO11" s="20">
        <v>3.1269740294515475E-4</v>
      </c>
      <c r="AP11" s="20">
        <v>9.8967412335273994E-3</v>
      </c>
      <c r="AQ11" s="20">
        <v>1.298336520256528E-4</v>
      </c>
      <c r="AR11" s="20">
        <v>3.2876549093808561E-4</v>
      </c>
      <c r="AS11" s="20">
        <v>1.3327506818161452E-3</v>
      </c>
      <c r="AT11" s="20">
        <v>2.8490942888073259E-2</v>
      </c>
      <c r="AU11" s="20">
        <f t="shared" si="0"/>
        <v>1</v>
      </c>
    </row>
    <row r="12" spans="1:47" x14ac:dyDescent="0.3">
      <c r="A12" s="2">
        <v>7</v>
      </c>
      <c r="B12" s="2" t="s">
        <v>212</v>
      </c>
      <c r="C12" s="20">
        <v>0.11974152957903465</v>
      </c>
      <c r="D12" s="20">
        <v>3.6742050013567028E-2</v>
      </c>
      <c r="E12" s="20">
        <v>3.610266275846237E-2</v>
      </c>
      <c r="F12" s="20">
        <v>1.5296160920494744E-4</v>
      </c>
      <c r="G12" s="20">
        <v>8.8503811241507815E-2</v>
      </c>
      <c r="H12" s="20">
        <v>4.9471721321619207E-2</v>
      </c>
      <c r="I12" s="20">
        <v>1.6945169161105351E-2</v>
      </c>
      <c r="J12" s="20">
        <v>0.57804720554247857</v>
      </c>
      <c r="K12" s="20">
        <v>2.6754666754323225E-3</v>
      </c>
      <c r="L12" s="20">
        <v>4.1206462898526488E-5</v>
      </c>
      <c r="M12" s="20">
        <v>1.2380317950068971E-2</v>
      </c>
      <c r="N12" s="20">
        <v>0</v>
      </c>
      <c r="O12" s="20">
        <v>0</v>
      </c>
      <c r="P12" s="20">
        <v>2.9280065680431861E-2</v>
      </c>
      <c r="Q12" s="20">
        <v>3.2151567972342216E-4</v>
      </c>
      <c r="R12" s="20">
        <v>2.5705589197692783E-2</v>
      </c>
      <c r="S12" s="20">
        <v>3.3414839225084534E-4</v>
      </c>
      <c r="T12" s="20">
        <v>1.7465633857570099E-5</v>
      </c>
      <c r="U12" s="20">
        <v>2.2437397884130443E-3</v>
      </c>
      <c r="V12" s="20">
        <v>1.2933733122509562E-3</v>
      </c>
      <c r="W12" s="20">
        <v>0.99999999999999978</v>
      </c>
      <c r="Y12" s="2">
        <v>7</v>
      </c>
      <c r="Z12" s="2" t="str">
        <f>VLOOKUP(Y12,WLs!$A$4:$C$23,3,FALSE)</f>
        <v>Tochten J</v>
      </c>
      <c r="AA12" s="20">
        <v>8.6706277272038446E-2</v>
      </c>
      <c r="AB12" s="20">
        <v>2.734782269953592E-2</v>
      </c>
      <c r="AC12" s="20">
        <v>2.8090198845688908E-2</v>
      </c>
      <c r="AD12" s="20">
        <v>9.7230087509267982E-5</v>
      </c>
      <c r="AE12" s="20">
        <v>6.4401382183664924E-2</v>
      </c>
      <c r="AF12" s="20">
        <v>3.6000747583820332E-2</v>
      </c>
      <c r="AG12" s="20">
        <v>1.1690131469179927E-2</v>
      </c>
      <c r="AH12" s="20">
        <v>0.64074213811646774</v>
      </c>
      <c r="AI12" s="20">
        <v>2.1182014136717116E-3</v>
      </c>
      <c r="AJ12" s="20">
        <v>5.7975249215354543E-5</v>
      </c>
      <c r="AK12" s="20">
        <v>1.2801511157580265E-2</v>
      </c>
      <c r="AL12" s="20">
        <v>0</v>
      </c>
      <c r="AM12" s="20">
        <v>0</v>
      </c>
      <c r="AN12" s="20">
        <v>3.6606712902584056E-2</v>
      </c>
      <c r="AO12" s="20">
        <v>6.043352636299382E-4</v>
      </c>
      <c r="AP12" s="20">
        <v>3.7264485672483721E-2</v>
      </c>
      <c r="AQ12" s="20">
        <v>3.5989221506350124E-4</v>
      </c>
      <c r="AR12" s="20">
        <v>1.7160566219456787E-5</v>
      </c>
      <c r="AS12" s="20">
        <v>1.9608482152344239E-3</v>
      </c>
      <c r="AT12" s="20">
        <v>1.3132949086412254E-2</v>
      </c>
      <c r="AU12" s="20">
        <f t="shared" si="0"/>
        <v>1.0000000000000002</v>
      </c>
    </row>
    <row r="13" spans="1:47" x14ac:dyDescent="0.3">
      <c r="A13" s="2">
        <v>8</v>
      </c>
      <c r="B13" s="2" t="s">
        <v>216</v>
      </c>
      <c r="C13" s="20">
        <v>0.21686473572315793</v>
      </c>
      <c r="D13" s="20">
        <v>3.5242331984947306E-2</v>
      </c>
      <c r="E13" s="20">
        <v>2.6394057429550404E-2</v>
      </c>
      <c r="F13" s="20">
        <v>2.7406272202770379E-4</v>
      </c>
      <c r="G13" s="20">
        <v>0.14315363111452345</v>
      </c>
      <c r="H13" s="20">
        <v>7.0410860930770106E-2</v>
      </c>
      <c r="I13" s="20">
        <v>6.1430696356036055E-3</v>
      </c>
      <c r="J13" s="20">
        <v>0.2236119257959531</v>
      </c>
      <c r="K13" s="20">
        <v>3.4062754517804662E-3</v>
      </c>
      <c r="L13" s="20">
        <v>6.6377334889747034E-3</v>
      </c>
      <c r="M13" s="20">
        <v>1.5914278585323988E-2</v>
      </c>
      <c r="N13" s="20">
        <v>0</v>
      </c>
      <c r="O13" s="20">
        <v>0</v>
      </c>
      <c r="P13" s="20">
        <v>1.4080129839109655E-2</v>
      </c>
      <c r="Q13" s="20">
        <v>6.4106964452085658E-4</v>
      </c>
      <c r="R13" s="20">
        <v>1.9540928881151467E-3</v>
      </c>
      <c r="S13" s="20">
        <v>1.5822568889044874E-4</v>
      </c>
      <c r="T13" s="20">
        <v>4.0668959147400419E-6</v>
      </c>
      <c r="U13" s="20">
        <v>1.6162065023054E-3</v>
      </c>
      <c r="V13" s="20">
        <v>0.233493245678531</v>
      </c>
      <c r="W13" s="20">
        <v>0.99999999999999978</v>
      </c>
      <c r="Y13" s="2">
        <v>8</v>
      </c>
      <c r="Z13" s="2" t="str">
        <f>VLOOKUP(Y13,WLs!$A$4:$C$23,3,FALSE)</f>
        <v>Tochten lage afdeling NOP</v>
      </c>
      <c r="AA13" s="20">
        <v>0.18403431729548927</v>
      </c>
      <c r="AB13" s="20">
        <v>2.6913671196036156E-2</v>
      </c>
      <c r="AC13" s="20">
        <v>2.2236245221143678E-2</v>
      </c>
      <c r="AD13" s="20">
        <v>2.8581018169376534E-4</v>
      </c>
      <c r="AE13" s="20">
        <v>0.1238649451149615</v>
      </c>
      <c r="AF13" s="20">
        <v>5.7259663720923462E-2</v>
      </c>
      <c r="AG13" s="20">
        <v>8.2418633799914588E-3</v>
      </c>
      <c r="AH13" s="20">
        <v>0.28433042848318202</v>
      </c>
      <c r="AI13" s="20">
        <v>3.2093425472938162E-3</v>
      </c>
      <c r="AJ13" s="20">
        <v>6.9900656434836042E-3</v>
      </c>
      <c r="AK13" s="20">
        <v>1.7593781331501027E-2</v>
      </c>
      <c r="AL13" s="20">
        <v>8.6869132854319427E-4</v>
      </c>
      <c r="AM13" s="20">
        <v>1.0190883803124482E-4</v>
      </c>
      <c r="AN13" s="20">
        <v>2.2435319450120797E-2</v>
      </c>
      <c r="AO13" s="20">
        <v>1.2288525787764913E-3</v>
      </c>
      <c r="AP13" s="20">
        <v>5.4161011157520794E-3</v>
      </c>
      <c r="AQ13" s="20">
        <v>2.3368651708209398E-4</v>
      </c>
      <c r="AR13" s="20">
        <v>6.0885029838138447E-5</v>
      </c>
      <c r="AS13" s="20">
        <v>1.6245095758122307E-3</v>
      </c>
      <c r="AT13" s="20">
        <v>0.23306991145034425</v>
      </c>
      <c r="AU13" s="20">
        <f t="shared" si="0"/>
        <v>1.0000000000000002</v>
      </c>
    </row>
    <row r="14" spans="1:47" x14ac:dyDescent="0.3">
      <c r="A14" s="2">
        <v>18</v>
      </c>
      <c r="B14" s="2" t="s">
        <v>264</v>
      </c>
      <c r="C14" s="20">
        <v>1.062593290421914E-2</v>
      </c>
      <c r="D14" s="20">
        <v>2.2032309223945909E-3</v>
      </c>
      <c r="E14" s="20">
        <v>2.5013717426583125E-3</v>
      </c>
      <c r="F14" s="20">
        <v>3.8286277286211799E-5</v>
      </c>
      <c r="G14" s="20">
        <v>3.4510769763957208E-3</v>
      </c>
      <c r="H14" s="20">
        <v>5.3136843179186592E-3</v>
      </c>
      <c r="I14" s="20">
        <v>0.15560093509547673</v>
      </c>
      <c r="J14" s="20">
        <v>1.1247599404390501E-2</v>
      </c>
      <c r="K14" s="20">
        <v>0</v>
      </c>
      <c r="L14" s="20">
        <v>4.1771786697148818E-3</v>
      </c>
      <c r="M14" s="20">
        <v>1.3133645766163821E-3</v>
      </c>
      <c r="N14" s="20">
        <v>0</v>
      </c>
      <c r="O14" s="20">
        <v>0</v>
      </c>
      <c r="P14" s="20">
        <v>0.4836275378236245</v>
      </c>
      <c r="Q14" s="20">
        <v>0</v>
      </c>
      <c r="R14" s="20">
        <v>0.18541454202027602</v>
      </c>
      <c r="S14" s="20">
        <v>0.1169632725672389</v>
      </c>
      <c r="T14" s="20">
        <v>0</v>
      </c>
      <c r="U14" s="20">
        <v>1.752198670178946E-2</v>
      </c>
      <c r="V14" s="20">
        <v>0</v>
      </c>
      <c r="W14" s="20">
        <v>1</v>
      </c>
      <c r="Y14" s="2">
        <v>18</v>
      </c>
      <c r="Z14" s="2" t="str">
        <f>VLOOKUP(Y14,WLs!$A$4:$C$23,3,FALSE)</f>
        <v>Oostvaardersplassen</v>
      </c>
      <c r="AA14" s="20">
        <v>2.984164803754635E-3</v>
      </c>
      <c r="AB14" s="20">
        <v>7.9851411849104429E-4</v>
      </c>
      <c r="AC14" s="20">
        <v>1.0722988954682689E-3</v>
      </c>
      <c r="AD14" s="20">
        <v>1.1292901437574165E-5</v>
      </c>
      <c r="AE14" s="20">
        <v>1.6302837168473115E-3</v>
      </c>
      <c r="AF14" s="20">
        <v>2.0878506716627151E-3</v>
      </c>
      <c r="AG14" s="20">
        <v>7.3295420478224779E-2</v>
      </c>
      <c r="AH14" s="20">
        <v>9.1533224085199611E-3</v>
      </c>
      <c r="AI14" s="20">
        <v>1.3878175618772719E-4</v>
      </c>
      <c r="AJ14" s="20">
        <v>1.9590752029110719E-3</v>
      </c>
      <c r="AK14" s="20">
        <v>7.8028335894131363E-4</v>
      </c>
      <c r="AL14" s="20">
        <v>0</v>
      </c>
      <c r="AM14" s="20">
        <v>0</v>
      </c>
      <c r="AN14" s="20">
        <v>0.57885340148579245</v>
      </c>
      <c r="AO14" s="20">
        <v>0</v>
      </c>
      <c r="AP14" s="20">
        <v>0.26023246901566727</v>
      </c>
      <c r="AQ14" s="20">
        <v>6.5819999327154252E-2</v>
      </c>
      <c r="AR14" s="20">
        <v>0</v>
      </c>
      <c r="AS14" s="20">
        <v>1.1828418589397028E-3</v>
      </c>
      <c r="AT14" s="20">
        <v>0</v>
      </c>
      <c r="AU14" s="20">
        <f t="shared" si="0"/>
        <v>1</v>
      </c>
    </row>
    <row r="15" spans="1:47" x14ac:dyDescent="0.3">
      <c r="A15" s="2">
        <v>9</v>
      </c>
      <c r="B15" s="2" t="s">
        <v>220</v>
      </c>
      <c r="C15" s="20">
        <v>0.14871792407784401</v>
      </c>
      <c r="D15" s="20">
        <v>2.5292500323646081E-2</v>
      </c>
      <c r="E15" s="20">
        <v>2.7911946030178728E-2</v>
      </c>
      <c r="F15" s="20">
        <v>2.8973391043301633E-4</v>
      </c>
      <c r="G15" s="20">
        <v>7.5584371739782871E-2</v>
      </c>
      <c r="H15" s="20">
        <v>3.8774351229232125E-2</v>
      </c>
      <c r="I15" s="20">
        <v>4.4249651536209956E-3</v>
      </c>
      <c r="J15" s="20">
        <v>0.22519973655290107</v>
      </c>
      <c r="K15" s="20">
        <v>4.3359285797498395E-3</v>
      </c>
      <c r="L15" s="20">
        <v>9.1157243798467621E-3</v>
      </c>
      <c r="M15" s="20">
        <v>1.5036385887276597E-2</v>
      </c>
      <c r="N15" s="20">
        <v>0</v>
      </c>
      <c r="O15" s="20">
        <v>0</v>
      </c>
      <c r="P15" s="20">
        <v>2.1488500471764871E-2</v>
      </c>
      <c r="Q15" s="20">
        <v>1.9399570982508307E-4</v>
      </c>
      <c r="R15" s="20">
        <v>4.8896210251154267E-4</v>
      </c>
      <c r="S15" s="20">
        <v>2.1711276664858669E-5</v>
      </c>
      <c r="T15" s="20">
        <v>1.0979491025162666E-4</v>
      </c>
      <c r="U15" s="20">
        <v>1.0884091967522452E-3</v>
      </c>
      <c r="V15" s="20">
        <v>0.40192505846771776</v>
      </c>
      <c r="W15" s="20">
        <v>0.99999999999999989</v>
      </c>
      <c r="Y15" s="2">
        <v>9</v>
      </c>
      <c r="Z15" s="2" t="str">
        <f>VLOOKUP(Y15,WLs!$A$4:$C$23,3,FALSE)</f>
        <v>Tochten hoge afdeling NOP</v>
      </c>
      <c r="AA15" s="20">
        <v>0.1082837319585082</v>
      </c>
      <c r="AB15" s="20">
        <v>1.6750998158576873E-2</v>
      </c>
      <c r="AC15" s="20">
        <v>2.1186982248363653E-2</v>
      </c>
      <c r="AD15" s="20">
        <v>1.7014847718279345E-4</v>
      </c>
      <c r="AE15" s="20">
        <v>5.679257868822455E-2</v>
      </c>
      <c r="AF15" s="20">
        <v>2.7042685967714176E-2</v>
      </c>
      <c r="AG15" s="20">
        <v>4.2800730121076887E-3</v>
      </c>
      <c r="AH15" s="20">
        <v>0.27016190336253498</v>
      </c>
      <c r="AI15" s="20">
        <v>3.2457951898420983E-3</v>
      </c>
      <c r="AJ15" s="20">
        <v>7.7298884121071512E-3</v>
      </c>
      <c r="AK15" s="20">
        <v>1.5187333778434212E-2</v>
      </c>
      <c r="AL15" s="20">
        <v>9.9941384563206878E-6</v>
      </c>
      <c r="AM15" s="20">
        <v>1.1755877202632671E-6</v>
      </c>
      <c r="AN15" s="20">
        <v>2.6094480311703246E-2</v>
      </c>
      <c r="AO15" s="20">
        <v>3.3687176318656042E-4</v>
      </c>
      <c r="AP15" s="20">
        <v>1.6853303427899142E-3</v>
      </c>
      <c r="AQ15" s="20">
        <v>2.6824293989606113E-5</v>
      </c>
      <c r="AR15" s="20">
        <v>1.1771207632430754E-4</v>
      </c>
      <c r="AS15" s="20">
        <v>1.1412265904455518E-3</v>
      </c>
      <c r="AT15" s="20">
        <v>0.43975426564178799</v>
      </c>
      <c r="AU15" s="20">
        <f t="shared" si="0"/>
        <v>1.0000000000000002</v>
      </c>
    </row>
    <row r="16" spans="1:47" x14ac:dyDescent="0.3">
      <c r="A16" s="2">
        <v>10</v>
      </c>
      <c r="B16" s="2" t="s">
        <v>224</v>
      </c>
      <c r="C16" s="20">
        <v>0.16807204479707058</v>
      </c>
      <c r="D16" s="20">
        <v>2.8136887608477084E-2</v>
      </c>
      <c r="E16" s="20">
        <v>2.2318948754310057E-2</v>
      </c>
      <c r="F16" s="20">
        <v>2.2666421242702891E-4</v>
      </c>
      <c r="G16" s="20">
        <v>0.10800703013538865</v>
      </c>
      <c r="H16" s="20">
        <v>5.4955869703929842E-2</v>
      </c>
      <c r="I16" s="20">
        <v>6.0007524322331415E-3</v>
      </c>
      <c r="J16" s="20">
        <v>0.29702905257705187</v>
      </c>
      <c r="K16" s="20">
        <v>2.87981482128367E-3</v>
      </c>
      <c r="L16" s="20">
        <v>5.6688604906609871E-3</v>
      </c>
      <c r="M16" s="20">
        <v>1.3208951206748967E-2</v>
      </c>
      <c r="N16" s="20">
        <v>2.7930029774209334E-2</v>
      </c>
      <c r="O16" s="20">
        <v>0</v>
      </c>
      <c r="P16" s="20">
        <v>1.4265519684343343E-2</v>
      </c>
      <c r="Q16" s="20">
        <v>5.7665620234751856E-4</v>
      </c>
      <c r="R16" s="20">
        <v>1.7042204111456501E-3</v>
      </c>
      <c r="S16" s="20">
        <v>1.0827736575083326E-4</v>
      </c>
      <c r="T16" s="20">
        <v>8.5517439141670828E-4</v>
      </c>
      <c r="U16" s="20">
        <v>1.3411212554894794E-3</v>
      </c>
      <c r="V16" s="20">
        <v>0.24671412417571534</v>
      </c>
      <c r="W16" s="20">
        <v>1</v>
      </c>
      <c r="Y16" s="2">
        <v>10</v>
      </c>
      <c r="Z16" s="2" t="str">
        <f>VLOOKUP(Y16,WLs!$A$4:$C$23,3,FALSE)</f>
        <v>Vaarten NOP</v>
      </c>
      <c r="AA16" s="20">
        <v>0.13429852504867729</v>
      </c>
      <c r="AB16" s="20">
        <v>2.0411516326802659E-2</v>
      </c>
      <c r="AC16" s="20">
        <v>1.7871260095462898E-2</v>
      </c>
      <c r="AD16" s="20">
        <v>2.0954671940350166E-4</v>
      </c>
      <c r="AE16" s="20">
        <v>8.8377515102104148E-2</v>
      </c>
      <c r="AF16" s="20">
        <v>4.2164932201968756E-2</v>
      </c>
      <c r="AG16" s="20">
        <v>6.8719268131272682E-3</v>
      </c>
      <c r="AH16" s="20">
        <v>0.36638191637633738</v>
      </c>
      <c r="AI16" s="20">
        <v>2.5167640182549647E-3</v>
      </c>
      <c r="AJ16" s="20">
        <v>5.5124582292844235E-3</v>
      </c>
      <c r="AK16" s="20">
        <v>1.382948483957621E-2</v>
      </c>
      <c r="AL16" s="20">
        <v>4.334102103278361E-2</v>
      </c>
      <c r="AM16" s="20">
        <v>6.4694370178018448E-5</v>
      </c>
      <c r="AN16" s="20">
        <v>2.0712701947741427E-2</v>
      </c>
      <c r="AO16" s="20">
        <v>1.1026591450536459E-3</v>
      </c>
      <c r="AP16" s="20">
        <v>4.7776260297514323E-3</v>
      </c>
      <c r="AQ16" s="20">
        <v>1.4771497007872597E-4</v>
      </c>
      <c r="AR16" s="20">
        <v>9.9322878968083035E-4</v>
      </c>
      <c r="AS16" s="20">
        <v>1.2593490931900205E-3</v>
      </c>
      <c r="AT16" s="20">
        <v>0.22915515885054286</v>
      </c>
      <c r="AU16" s="20">
        <f t="shared" si="0"/>
        <v>1.0000000000000002</v>
      </c>
    </row>
    <row r="17" spans="1:47" x14ac:dyDescent="0.3">
      <c r="A17" s="2">
        <v>11</v>
      </c>
      <c r="B17" s="2" t="s">
        <v>229</v>
      </c>
      <c r="C17" s="20">
        <v>5.0537271583362547E-2</v>
      </c>
      <c r="D17" s="20">
        <v>1.4915534189262249E-2</v>
      </c>
      <c r="E17" s="20">
        <v>1.9104766902282088E-2</v>
      </c>
      <c r="F17" s="20">
        <v>7.450042141484617E-5</v>
      </c>
      <c r="G17" s="20">
        <v>5.5376828573853662E-2</v>
      </c>
      <c r="H17" s="20">
        <v>3.9089423899377765E-2</v>
      </c>
      <c r="I17" s="20">
        <v>1.9839126909736441E-2</v>
      </c>
      <c r="J17" s="20">
        <v>0.64118485275962644</v>
      </c>
      <c r="K17" s="20">
        <v>3.4280370178070927E-3</v>
      </c>
      <c r="L17" s="20">
        <v>3.3372407844862542E-5</v>
      </c>
      <c r="M17" s="20">
        <v>9.2639616072623561E-3</v>
      </c>
      <c r="N17" s="20">
        <v>1.066705610895663E-2</v>
      </c>
      <c r="O17" s="20">
        <v>0</v>
      </c>
      <c r="P17" s="20">
        <v>3.8629386350458685E-2</v>
      </c>
      <c r="Q17" s="20">
        <v>1.67644738768901E-4</v>
      </c>
      <c r="R17" s="20">
        <v>1.6309387141247633E-2</v>
      </c>
      <c r="S17" s="20">
        <v>4.7248836429763966E-4</v>
      </c>
      <c r="T17" s="20">
        <v>1.0467528376833049E-3</v>
      </c>
      <c r="U17" s="20">
        <v>1.1955915336859487E-3</v>
      </c>
      <c r="V17" s="20">
        <v>7.866401665307092E-2</v>
      </c>
      <c r="W17" s="20">
        <v>0.99999999999999989</v>
      </c>
      <c r="Y17" s="2">
        <v>11</v>
      </c>
      <c r="Z17" s="2" t="str">
        <f>VLOOKUP(Y17,WLs!$A$4:$C$23,3,FALSE)</f>
        <v>Vaarten hoge afdeling ZOF</v>
      </c>
      <c r="AA17" s="20">
        <v>3.4640142346739893E-2</v>
      </c>
      <c r="AB17" s="20">
        <v>1.0261708609207299E-2</v>
      </c>
      <c r="AC17" s="20">
        <v>1.361690358828109E-2</v>
      </c>
      <c r="AD17" s="20">
        <v>4.4871776201176878E-5</v>
      </c>
      <c r="AE17" s="20">
        <v>3.8524073281531478E-2</v>
      </c>
      <c r="AF17" s="20">
        <v>2.6851608737221595E-2</v>
      </c>
      <c r="AG17" s="20">
        <v>1.2952463060648969E-2</v>
      </c>
      <c r="AH17" s="20">
        <v>0.6864220688224556</v>
      </c>
      <c r="AI17" s="20">
        <v>2.5659022278609776E-3</v>
      </c>
      <c r="AJ17" s="20">
        <v>2.3977901326583343E-5</v>
      </c>
      <c r="AK17" s="20">
        <v>9.3275217182413848E-3</v>
      </c>
      <c r="AL17" s="20">
        <v>1.2010822577150136E-2</v>
      </c>
      <c r="AM17" s="20">
        <v>0</v>
      </c>
      <c r="AN17" s="20">
        <v>3.9229440114884814E-2</v>
      </c>
      <c r="AO17" s="20">
        <v>3.1354511254523911E-4</v>
      </c>
      <c r="AP17" s="20">
        <v>2.3994562231318961E-2</v>
      </c>
      <c r="AQ17" s="20">
        <v>3.9594762505346039E-4</v>
      </c>
      <c r="AR17" s="20">
        <v>1.0028815795085555E-3</v>
      </c>
      <c r="AS17" s="20">
        <v>8.2202785153131423E-4</v>
      </c>
      <c r="AT17" s="20">
        <v>8.6999530838291331E-2</v>
      </c>
      <c r="AU17" s="20">
        <f t="shared" si="0"/>
        <v>0.99999999999999978</v>
      </c>
    </row>
    <row r="18" spans="1:47" x14ac:dyDescent="0.3">
      <c r="A18" s="2">
        <v>12</v>
      </c>
      <c r="B18" s="2" t="s">
        <v>473</v>
      </c>
      <c r="C18" s="20">
        <v>5.5645864362671035E-2</v>
      </c>
      <c r="D18" s="20">
        <v>1.8419039535217306E-2</v>
      </c>
      <c r="E18" s="20">
        <v>2.2773744703651171E-2</v>
      </c>
      <c r="F18" s="20">
        <v>5.9129599802038463E-5</v>
      </c>
      <c r="G18" s="20">
        <v>3.1034585667162818E-2</v>
      </c>
      <c r="H18" s="20">
        <v>3.5322818348049352E-2</v>
      </c>
      <c r="I18" s="20">
        <v>1.3431604371946286E-2</v>
      </c>
      <c r="J18" s="20">
        <v>0.67832974338058316</v>
      </c>
      <c r="K18" s="20">
        <v>1.908744171965078E-3</v>
      </c>
      <c r="L18" s="20">
        <v>2.702595725994216E-3</v>
      </c>
      <c r="M18" s="20">
        <v>8.7742866087185453E-3</v>
      </c>
      <c r="N18" s="20">
        <v>5.8577150532875315E-2</v>
      </c>
      <c r="O18" s="20">
        <v>8.5489811215482133E-4</v>
      </c>
      <c r="P18" s="20">
        <v>2.1902304631247295E-2</v>
      </c>
      <c r="Q18" s="20">
        <v>3.0081676069562598E-4</v>
      </c>
      <c r="R18" s="20">
        <v>1.8035421861510727E-2</v>
      </c>
      <c r="S18" s="20">
        <v>9.8684871023209018E-4</v>
      </c>
      <c r="T18" s="20">
        <v>7.0619109377641296E-4</v>
      </c>
      <c r="U18" s="20">
        <v>1.5099705364513482E-3</v>
      </c>
      <c r="V18" s="20">
        <v>2.8724241285295549E-2</v>
      </c>
      <c r="W18" s="20">
        <v>1.0000000000000002</v>
      </c>
      <c r="Y18" s="2">
        <v>12</v>
      </c>
      <c r="Z18" s="2" t="str">
        <f>VLOOKUP(Y18,WLs!$A$4:$C$23,3,FALSE)</f>
        <v>Vaarten lage afdeling ZOF</v>
      </c>
      <c r="AA18" s="20">
        <v>3.7991267635552724E-2</v>
      </c>
      <c r="AB18" s="20">
        <v>1.2818386611941327E-2</v>
      </c>
      <c r="AC18" s="20">
        <v>1.5945363655082308E-2</v>
      </c>
      <c r="AD18" s="20">
        <v>3.6599961561676948E-5</v>
      </c>
      <c r="AE18" s="20">
        <v>2.1657101770337403E-2</v>
      </c>
      <c r="AF18" s="20">
        <v>2.4191057274561868E-2</v>
      </c>
      <c r="AG18" s="20">
        <v>8.9218222648223492E-3</v>
      </c>
      <c r="AH18" s="20">
        <v>0.71713965334069274</v>
      </c>
      <c r="AI18" s="20">
        <v>1.4093586923349091E-3</v>
      </c>
      <c r="AJ18" s="20">
        <v>1.6642716013367726E-3</v>
      </c>
      <c r="AK18" s="20">
        <v>8.3420120964459998E-3</v>
      </c>
      <c r="AL18" s="20">
        <v>6.8390424074100231E-2</v>
      </c>
      <c r="AM18" s="20">
        <v>1.735536062812202E-3</v>
      </c>
      <c r="AN18" s="20">
        <v>2.5365259485068768E-2</v>
      </c>
      <c r="AO18" s="20">
        <v>5.0771514275568125E-4</v>
      </c>
      <c r="AP18" s="20">
        <v>2.7918874468225274E-2</v>
      </c>
      <c r="AQ18" s="20">
        <v>8.5384291213714137E-4</v>
      </c>
      <c r="AR18" s="20">
        <v>6.815385317017463E-4</v>
      </c>
      <c r="AS18" s="20">
        <v>1.1194047800812687E-3</v>
      </c>
      <c r="AT18" s="20">
        <v>2.331050963844777E-2</v>
      </c>
      <c r="AU18" s="20">
        <f t="shared" si="0"/>
        <v>1.0000000000000002</v>
      </c>
    </row>
    <row r="22" spans="1:47" x14ac:dyDescent="0.3">
      <c r="A22" s="133" t="s">
        <v>474</v>
      </c>
      <c r="Y22" s="133" t="s">
        <v>475</v>
      </c>
    </row>
    <row r="23" spans="1:47" ht="121.2" x14ac:dyDescent="0.3">
      <c r="A23" s="1" t="s">
        <v>149</v>
      </c>
      <c r="B23" s="1" t="s">
        <v>152</v>
      </c>
      <c r="C23" s="91" t="s">
        <v>93</v>
      </c>
      <c r="D23" s="91" t="s">
        <v>94</v>
      </c>
      <c r="E23" s="91" t="s">
        <v>95</v>
      </c>
      <c r="F23" s="91" t="s">
        <v>96</v>
      </c>
      <c r="G23" s="91" t="s">
        <v>97</v>
      </c>
      <c r="H23" s="91" t="s">
        <v>98</v>
      </c>
      <c r="I23" s="91" t="s">
        <v>99</v>
      </c>
      <c r="J23" s="91" t="s">
        <v>100</v>
      </c>
      <c r="K23" s="91" t="s">
        <v>101</v>
      </c>
      <c r="L23" s="91" t="s">
        <v>102</v>
      </c>
      <c r="M23" s="91" t="s">
        <v>103</v>
      </c>
      <c r="N23" s="91" t="s">
        <v>104</v>
      </c>
      <c r="O23" s="91" t="s">
        <v>105</v>
      </c>
      <c r="P23" s="91" t="s">
        <v>106</v>
      </c>
      <c r="Q23" s="91" t="s">
        <v>107</v>
      </c>
      <c r="R23" s="91" t="s">
        <v>108</v>
      </c>
      <c r="S23" s="91" t="s">
        <v>109</v>
      </c>
      <c r="T23" s="91" t="s">
        <v>110</v>
      </c>
      <c r="U23" s="91" t="s">
        <v>111</v>
      </c>
      <c r="V23" s="91" t="s">
        <v>112</v>
      </c>
      <c r="W23" s="91" t="s">
        <v>471</v>
      </c>
      <c r="Y23" s="1" t="s">
        <v>149</v>
      </c>
      <c r="Z23" s="1" t="s">
        <v>152</v>
      </c>
      <c r="AA23" s="91" t="s">
        <v>93</v>
      </c>
      <c r="AB23" s="91" t="s">
        <v>94</v>
      </c>
      <c r="AC23" s="91" t="s">
        <v>95</v>
      </c>
      <c r="AD23" s="91" t="s">
        <v>96</v>
      </c>
      <c r="AE23" s="91" t="s">
        <v>97</v>
      </c>
      <c r="AF23" s="91" t="s">
        <v>98</v>
      </c>
      <c r="AG23" s="91" t="s">
        <v>99</v>
      </c>
      <c r="AH23" s="91" t="s">
        <v>100</v>
      </c>
      <c r="AI23" s="91" t="s">
        <v>101</v>
      </c>
      <c r="AJ23" s="91" t="s">
        <v>102</v>
      </c>
      <c r="AK23" s="91" t="s">
        <v>103</v>
      </c>
      <c r="AL23" s="91" t="s">
        <v>104</v>
      </c>
      <c r="AM23" s="91" t="s">
        <v>105</v>
      </c>
      <c r="AN23" s="91" t="s">
        <v>106</v>
      </c>
      <c r="AO23" s="91" t="s">
        <v>107</v>
      </c>
      <c r="AP23" s="91" t="s">
        <v>108</v>
      </c>
      <c r="AQ23" s="91" t="s">
        <v>109</v>
      </c>
      <c r="AR23" s="91" t="s">
        <v>110</v>
      </c>
      <c r="AS23" s="91" t="s">
        <v>111</v>
      </c>
      <c r="AT23" s="91" t="s">
        <v>112</v>
      </c>
      <c r="AU23" s="91" t="s">
        <v>472</v>
      </c>
    </row>
    <row r="24" spans="1:47" x14ac:dyDescent="0.3">
      <c r="A24" s="2">
        <v>1</v>
      </c>
      <c r="B24" s="2" t="s">
        <v>186</v>
      </c>
      <c r="C24" s="20">
        <v>7.212426328252422E-2</v>
      </c>
      <c r="D24" s="20">
        <v>1.2289849557739247E-2</v>
      </c>
      <c r="E24" s="20">
        <v>7.6027084371799647E-3</v>
      </c>
      <c r="F24" s="20">
        <v>2.0895537871893038E-4</v>
      </c>
      <c r="G24" s="20">
        <v>5.1236413011994532E-2</v>
      </c>
      <c r="H24" s="20">
        <v>2.4329273978946141E-2</v>
      </c>
      <c r="I24" s="20">
        <v>0.17530759901095824</v>
      </c>
      <c r="J24" s="20">
        <v>0.59688034444874927</v>
      </c>
      <c r="K24" s="20">
        <v>3.5699406521392798E-3</v>
      </c>
      <c r="L24" s="20">
        <v>0</v>
      </c>
      <c r="M24" s="20">
        <v>9.3741150663076318E-3</v>
      </c>
      <c r="N24" s="20">
        <v>0</v>
      </c>
      <c r="O24" s="20">
        <v>0</v>
      </c>
      <c r="P24" s="20">
        <v>4.2095259889042176E-2</v>
      </c>
      <c r="Q24" s="20">
        <v>1.2077815857710372E-4</v>
      </c>
      <c r="R24" s="20">
        <v>3.1963622946690191E-3</v>
      </c>
      <c r="S24" s="20">
        <v>2.703570233524428E-4</v>
      </c>
      <c r="T24" s="20">
        <v>0</v>
      </c>
      <c r="U24" s="20">
        <v>1.3937798091016285E-3</v>
      </c>
      <c r="V24" s="20">
        <v>0</v>
      </c>
      <c r="W24" s="20">
        <v>0.99999999999999978</v>
      </c>
      <c r="Y24" s="2">
        <v>1</v>
      </c>
      <c r="Z24" s="2" t="str">
        <f>VLOOKUP(Y24,WLs!$A$4:$C$23,3,FALSE)</f>
        <v>Tochten ABC1</v>
      </c>
      <c r="AA24" s="20">
        <v>6.0353184619781793E-2</v>
      </c>
      <c r="AB24" s="20">
        <v>1.0227191194934416E-2</v>
      </c>
      <c r="AC24" s="20">
        <v>7.1234901140932432E-3</v>
      </c>
      <c r="AD24" s="20">
        <v>1.3858870834069253E-4</v>
      </c>
      <c r="AE24" s="20">
        <v>5.5331676925551999E-2</v>
      </c>
      <c r="AF24" s="20">
        <v>2.3648233057114876E-2</v>
      </c>
      <c r="AG24" s="20">
        <v>0.14992184879157108</v>
      </c>
      <c r="AH24" s="20">
        <v>0.62725932715149435</v>
      </c>
      <c r="AI24" s="20">
        <v>2.6746739844786295E-3</v>
      </c>
      <c r="AJ24" s="20">
        <v>4.4489050667999128E-6</v>
      </c>
      <c r="AK24" s="20">
        <v>9.5300279482837744E-3</v>
      </c>
      <c r="AL24" s="20">
        <v>0</v>
      </c>
      <c r="AM24" s="20">
        <v>0</v>
      </c>
      <c r="AN24" s="20">
        <v>4.3800662465765791E-2</v>
      </c>
      <c r="AO24" s="20">
        <v>2.4554590806084972E-4</v>
      </c>
      <c r="AP24" s="20">
        <v>8.5568148702282118E-3</v>
      </c>
      <c r="AQ24" s="20">
        <v>2.9679320339292696E-4</v>
      </c>
      <c r="AR24" s="20">
        <v>0</v>
      </c>
      <c r="AS24" s="20">
        <v>8.8749215184039283E-4</v>
      </c>
      <c r="AT24" s="20">
        <v>0</v>
      </c>
      <c r="AU24" s="20">
        <f>SUM(AA24:AT24)</f>
        <v>0.99999999999999967</v>
      </c>
    </row>
    <row r="25" spans="1:47" x14ac:dyDescent="0.3">
      <c r="A25" s="2">
        <v>2</v>
      </c>
      <c r="B25" s="2" t="s">
        <v>193</v>
      </c>
      <c r="C25" s="20">
        <v>9.639856604646467E-2</v>
      </c>
      <c r="D25" s="20">
        <v>2.4541396755658675E-2</v>
      </c>
      <c r="E25" s="20">
        <v>2.3942633181762121E-2</v>
      </c>
      <c r="F25" s="20">
        <v>2.024880554245152E-4</v>
      </c>
      <c r="G25" s="20">
        <v>9.861332506218394E-2</v>
      </c>
      <c r="H25" s="20">
        <v>6.5748727906541043E-2</v>
      </c>
      <c r="I25" s="20">
        <v>5.7496201871086762E-2</v>
      </c>
      <c r="J25" s="20">
        <v>0.58161269358306056</v>
      </c>
      <c r="K25" s="20">
        <v>2.9918558012975113E-3</v>
      </c>
      <c r="L25" s="20">
        <v>0</v>
      </c>
      <c r="M25" s="20">
        <v>8.2595646973983843E-3</v>
      </c>
      <c r="N25" s="20">
        <v>0</v>
      </c>
      <c r="O25" s="20">
        <v>0</v>
      </c>
      <c r="P25" s="20">
        <v>3.6100212395211974E-2</v>
      </c>
      <c r="Q25" s="20">
        <v>1.101877941173573E-4</v>
      </c>
      <c r="R25" s="20">
        <v>2.6000270449853579E-3</v>
      </c>
      <c r="S25" s="20">
        <v>2.2286659236288783E-4</v>
      </c>
      <c r="T25" s="20">
        <v>0</v>
      </c>
      <c r="U25" s="20">
        <v>1.1592532124442717E-3</v>
      </c>
      <c r="V25" s="20">
        <v>0</v>
      </c>
      <c r="W25" s="20">
        <v>1</v>
      </c>
      <c r="Y25" s="2">
        <v>2</v>
      </c>
      <c r="Z25" s="2" t="str">
        <f>VLOOKUP(Y25,WLs!$A$4:$C$23,3,FALSE)</f>
        <v>Tochten ABC2</v>
      </c>
      <c r="AA25" s="20">
        <v>9.69853752936468E-2</v>
      </c>
      <c r="AB25" s="20">
        <v>2.4876730728917253E-2</v>
      </c>
      <c r="AC25" s="20">
        <v>2.8140591570909281E-2</v>
      </c>
      <c r="AD25" s="20">
        <v>1.8179770769873903E-4</v>
      </c>
      <c r="AE25" s="20">
        <v>9.9426001621722229E-2</v>
      </c>
      <c r="AF25" s="20">
        <v>6.9416973242315522E-2</v>
      </c>
      <c r="AG25" s="20">
        <v>4.9568611385741548E-2</v>
      </c>
      <c r="AH25" s="20">
        <v>0.57820529303322821</v>
      </c>
      <c r="AI25" s="20">
        <v>2.1368700396848009E-3</v>
      </c>
      <c r="AJ25" s="20">
        <v>3.3644088055306788E-6</v>
      </c>
      <c r="AK25" s="20">
        <v>7.923729487890609E-3</v>
      </c>
      <c r="AL25" s="20">
        <v>0</v>
      </c>
      <c r="AM25" s="20">
        <v>0</v>
      </c>
      <c r="AN25" s="20">
        <v>3.5503998724594303E-2</v>
      </c>
      <c r="AO25" s="20">
        <v>2.108815466695611E-4</v>
      </c>
      <c r="AP25" s="20">
        <v>6.4544811353035312E-3</v>
      </c>
      <c r="AQ25" s="20">
        <v>2.2997190422277607E-4</v>
      </c>
      <c r="AR25" s="20">
        <v>0</v>
      </c>
      <c r="AS25" s="20">
        <v>7.3532816864917464E-4</v>
      </c>
      <c r="AT25" s="20">
        <v>0</v>
      </c>
      <c r="AU25" s="20">
        <f t="shared" ref="AU25:AU36" si="1">SUM(AA25:AT25)</f>
        <v>1</v>
      </c>
    </row>
    <row r="26" spans="1:47" x14ac:dyDescent="0.3">
      <c r="A26" s="2">
        <v>3</v>
      </c>
      <c r="B26" s="2" t="s">
        <v>197</v>
      </c>
      <c r="C26" s="20">
        <v>7.9988848647248326E-2</v>
      </c>
      <c r="D26" s="20">
        <v>1.2711625839612944E-2</v>
      </c>
      <c r="E26" s="20">
        <v>2.2240340242204823E-2</v>
      </c>
      <c r="F26" s="20">
        <v>8.4374867028926345E-5</v>
      </c>
      <c r="G26" s="20">
        <v>0.1020812025215239</v>
      </c>
      <c r="H26" s="20">
        <v>3.5349370304822464E-2</v>
      </c>
      <c r="I26" s="20">
        <v>0.30000255449649915</v>
      </c>
      <c r="J26" s="20">
        <v>6.8069751364581474E-2</v>
      </c>
      <c r="K26" s="20">
        <v>1.9728804259037968E-3</v>
      </c>
      <c r="L26" s="20">
        <v>2.7163514338349599E-4</v>
      </c>
      <c r="M26" s="20">
        <v>7.0492499656141074E-3</v>
      </c>
      <c r="N26" s="20">
        <v>0</v>
      </c>
      <c r="O26" s="20">
        <v>0</v>
      </c>
      <c r="P26" s="20">
        <v>0.13796159551600401</v>
      </c>
      <c r="Q26" s="20">
        <v>0</v>
      </c>
      <c r="R26" s="20">
        <v>0.20051088644757126</v>
      </c>
      <c r="S26" s="20">
        <v>1.4597208666984786E-2</v>
      </c>
      <c r="T26" s="20">
        <v>3.7691810369494755E-4</v>
      </c>
      <c r="U26" s="20">
        <v>1.2569540639313618E-2</v>
      </c>
      <c r="V26" s="20">
        <v>4.1620168080079194E-3</v>
      </c>
      <c r="W26" s="20">
        <v>1</v>
      </c>
      <c r="Y26" s="2">
        <v>3</v>
      </c>
      <c r="Z26" s="2" t="str">
        <f>VLOOKUP(Y26,WLs!$A$4:$C$23,3,FALSE)</f>
        <v>Tochten DE Almere</v>
      </c>
      <c r="AA26" s="20">
        <v>7.4064503946544027E-2</v>
      </c>
      <c r="AB26" s="20">
        <v>1.2088487310435539E-2</v>
      </c>
      <c r="AC26" s="20">
        <v>2.3679660459635855E-2</v>
      </c>
      <c r="AD26" s="20">
        <v>7.0393462181300232E-5</v>
      </c>
      <c r="AE26" s="20">
        <v>9.4341786731341332E-2</v>
      </c>
      <c r="AF26" s="20">
        <v>3.5898962164253818E-2</v>
      </c>
      <c r="AG26" s="20">
        <v>0.29284541932000341</v>
      </c>
      <c r="AH26" s="20">
        <v>6.1602552828569412E-2</v>
      </c>
      <c r="AI26" s="20">
        <v>1.246847762691503E-3</v>
      </c>
      <c r="AJ26" s="20">
        <v>2.4845973419434229E-4</v>
      </c>
      <c r="AK26" s="20">
        <v>4.8171658768834261E-3</v>
      </c>
      <c r="AL26" s="20">
        <v>0</v>
      </c>
      <c r="AM26" s="20">
        <v>0</v>
      </c>
      <c r="AN26" s="20">
        <v>0.11952722794580692</v>
      </c>
      <c r="AO26" s="20">
        <v>0</v>
      </c>
      <c r="AP26" s="20">
        <v>0.2604842163462126</v>
      </c>
      <c r="AQ26" s="20">
        <v>8.6894754691481547E-3</v>
      </c>
      <c r="AR26" s="20">
        <v>3.0230989234223858E-4</v>
      </c>
      <c r="AS26" s="20">
        <v>1.0820709437685844E-3</v>
      </c>
      <c r="AT26" s="20">
        <v>9.0104598059875911E-3</v>
      </c>
      <c r="AU26" s="20">
        <f t="shared" si="1"/>
        <v>0.99999999999999989</v>
      </c>
    </row>
    <row r="27" spans="1:47" x14ac:dyDescent="0.3">
      <c r="A27" s="2">
        <v>4</v>
      </c>
      <c r="B27" s="2" t="s">
        <v>201</v>
      </c>
      <c r="C27" s="20">
        <v>0.10258665630065113</v>
      </c>
      <c r="D27" s="20">
        <v>3.6875172479202162E-2</v>
      </c>
      <c r="E27" s="20">
        <v>4.6156745670573214E-2</v>
      </c>
      <c r="F27" s="20">
        <v>1.4648002535614497E-4</v>
      </c>
      <c r="G27" s="20">
        <v>5.8478877332954572E-2</v>
      </c>
      <c r="H27" s="20">
        <v>0.11819803746503486</v>
      </c>
      <c r="I27" s="20">
        <v>0.11290481953142507</v>
      </c>
      <c r="J27" s="20">
        <v>0.35608956986172041</v>
      </c>
      <c r="K27" s="20">
        <v>7.470013573801562E-3</v>
      </c>
      <c r="L27" s="20">
        <v>1.7462334099485995E-4</v>
      </c>
      <c r="M27" s="20">
        <v>1.1661872727134216E-2</v>
      </c>
      <c r="N27" s="20">
        <v>0</v>
      </c>
      <c r="O27" s="20">
        <v>0</v>
      </c>
      <c r="P27" s="20">
        <v>7.684758984368345E-2</v>
      </c>
      <c r="Q27" s="20">
        <v>0</v>
      </c>
      <c r="R27" s="20">
        <v>7.0845770150558846E-2</v>
      </c>
      <c r="S27" s="20">
        <v>3.6963871695674298E-4</v>
      </c>
      <c r="T27" s="20">
        <v>3.4712403329209481E-4</v>
      </c>
      <c r="U27" s="20">
        <v>8.4700894666063791E-4</v>
      </c>
      <c r="V27" s="20">
        <v>0</v>
      </c>
      <c r="W27" s="20">
        <v>1.0000000000000002</v>
      </c>
      <c r="Y27" s="2">
        <v>4</v>
      </c>
      <c r="Z27" s="2" t="str">
        <f>VLOOKUP(Y27,WLs!$A$4:$C$23,3,FALSE)</f>
        <v>Tochten DE Zuidlob</v>
      </c>
      <c r="AA27" s="20">
        <v>0.10776924653051491</v>
      </c>
      <c r="AB27" s="20">
        <v>4.0156694213703069E-2</v>
      </c>
      <c r="AC27" s="20">
        <v>5.7459650182581035E-2</v>
      </c>
      <c r="AD27" s="20">
        <v>1.3197148606358675E-4</v>
      </c>
      <c r="AE27" s="20">
        <v>5.9283603953431942E-2</v>
      </c>
      <c r="AF27" s="20">
        <v>0.1261855185388002</v>
      </c>
      <c r="AG27" s="20">
        <v>9.7868548660773103E-2</v>
      </c>
      <c r="AH27" s="20">
        <v>0.34484503547313322</v>
      </c>
      <c r="AI27" s="20">
        <v>5.0518940855522852E-3</v>
      </c>
      <c r="AJ27" s="20">
        <v>7.9695207896429525E-5</v>
      </c>
      <c r="AK27" s="20">
        <v>1.0780402133187175E-2</v>
      </c>
      <c r="AL27" s="20">
        <v>0</v>
      </c>
      <c r="AM27" s="20">
        <v>0</v>
      </c>
      <c r="AN27" s="20">
        <v>6.8376616796653647E-2</v>
      </c>
      <c r="AO27" s="20">
        <v>0</v>
      </c>
      <c r="AP27" s="20">
        <v>8.0634251919517327E-2</v>
      </c>
      <c r="AQ27" s="20">
        <v>3.4547535703794552E-4</v>
      </c>
      <c r="AR27" s="20">
        <v>2.9791630467445668E-4</v>
      </c>
      <c r="AS27" s="20">
        <v>7.3347915647943389E-4</v>
      </c>
      <c r="AT27" s="20">
        <v>0</v>
      </c>
      <c r="AU27" s="20">
        <f t="shared" si="1"/>
        <v>0.99999999999999978</v>
      </c>
    </row>
    <row r="28" spans="1:47" x14ac:dyDescent="0.3">
      <c r="A28" s="2">
        <v>5</v>
      </c>
      <c r="B28" s="2" t="s">
        <v>204</v>
      </c>
      <c r="C28" s="20">
        <v>0.10892807008176456</v>
      </c>
      <c r="D28" s="20">
        <v>3.509989344171225E-2</v>
      </c>
      <c r="E28" s="20">
        <v>7.1155552317980417E-2</v>
      </c>
      <c r="F28" s="20">
        <v>1.294212583023493E-4</v>
      </c>
      <c r="G28" s="20">
        <v>5.2391417740335539E-2</v>
      </c>
      <c r="H28" s="20">
        <v>0.11307254030978153</v>
      </c>
      <c r="I28" s="20">
        <v>3.8234765471976344E-2</v>
      </c>
      <c r="J28" s="20">
        <v>0.50931569223881012</v>
      </c>
      <c r="K28" s="20">
        <v>2.9240784714687296E-3</v>
      </c>
      <c r="L28" s="20">
        <v>5.4347899252875057E-7</v>
      </c>
      <c r="M28" s="20">
        <v>1.0953678292778435E-2</v>
      </c>
      <c r="N28" s="20">
        <v>1.6024933845400091E-4</v>
      </c>
      <c r="O28" s="20">
        <v>0</v>
      </c>
      <c r="P28" s="20">
        <v>2.0865537350882566E-2</v>
      </c>
      <c r="Q28" s="20">
        <v>2.4191671453593099E-6</v>
      </c>
      <c r="R28" s="20">
        <v>3.1766226050600394E-2</v>
      </c>
      <c r="S28" s="20">
        <v>1.359893039198766E-3</v>
      </c>
      <c r="T28" s="20">
        <v>1.5024785441786347E-5</v>
      </c>
      <c r="U28" s="20">
        <v>1.7120175342159576E-3</v>
      </c>
      <c r="V28" s="20">
        <v>1.9129796301584718E-3</v>
      </c>
      <c r="W28" s="20">
        <v>1</v>
      </c>
      <c r="Y28" s="2">
        <v>5</v>
      </c>
      <c r="Z28" s="2" t="str">
        <f>VLOOKUP(Y28,WLs!$A$4:$C$23,3,FALSE)</f>
        <v>Tochten FGIK</v>
      </c>
      <c r="AA28" s="20">
        <v>0.114972595624539</v>
      </c>
      <c r="AB28" s="20">
        <v>3.6565485117372502E-2</v>
      </c>
      <c r="AC28" s="20">
        <v>8.1824472224157438E-2</v>
      </c>
      <c r="AD28" s="20">
        <v>1.2632541471425384E-4</v>
      </c>
      <c r="AE28" s="20">
        <v>5.225634240239703E-2</v>
      </c>
      <c r="AF28" s="20">
        <v>0.11989357160470514</v>
      </c>
      <c r="AG28" s="20">
        <v>4.1811554158331529E-2</v>
      </c>
      <c r="AH28" s="20">
        <v>0.47602055340634036</v>
      </c>
      <c r="AI28" s="20">
        <v>1.8055208105072237E-3</v>
      </c>
      <c r="AJ28" s="20">
        <v>2.0760894908525337E-5</v>
      </c>
      <c r="AK28" s="20">
        <v>9.3985677322168046E-3</v>
      </c>
      <c r="AL28" s="20">
        <v>3.0522933214882896E-4</v>
      </c>
      <c r="AM28" s="20">
        <v>0</v>
      </c>
      <c r="AN28" s="20">
        <v>2.0823249822002957E-2</v>
      </c>
      <c r="AO28" s="20">
        <v>7.720751291088356E-6</v>
      </c>
      <c r="AP28" s="20">
        <v>3.854328867660646E-2</v>
      </c>
      <c r="AQ28" s="20">
        <v>1.2001609008905599E-3</v>
      </c>
      <c r="AR28" s="20">
        <v>2.4593422294310187E-5</v>
      </c>
      <c r="AS28" s="20">
        <v>1.3452048618177953E-3</v>
      </c>
      <c r="AT28" s="20">
        <v>3.0548028427581689E-3</v>
      </c>
      <c r="AU28" s="20">
        <f t="shared" si="1"/>
        <v>1.0000000000000002</v>
      </c>
    </row>
    <row r="29" spans="1:47" x14ac:dyDescent="0.3">
      <c r="A29" s="2">
        <v>6</v>
      </c>
      <c r="B29" s="2" t="s">
        <v>208</v>
      </c>
      <c r="C29" s="20">
        <v>8.1978716339232705E-2</v>
      </c>
      <c r="D29" s="20">
        <v>2.6179047814813235E-2</v>
      </c>
      <c r="E29" s="20">
        <v>5.1847462033863638E-2</v>
      </c>
      <c r="F29" s="20">
        <v>8.903985992398243E-5</v>
      </c>
      <c r="G29" s="20">
        <v>2.3421382852368323E-2</v>
      </c>
      <c r="H29" s="20">
        <v>8.3428994221345865E-2</v>
      </c>
      <c r="I29" s="20">
        <v>1.2088765195514986E-2</v>
      </c>
      <c r="J29" s="20">
        <v>0.67470977080780947</v>
      </c>
      <c r="K29" s="20">
        <v>1.7653741017385927E-3</v>
      </c>
      <c r="L29" s="20">
        <v>1.3437369294513454E-4</v>
      </c>
      <c r="M29" s="20">
        <v>1.0484466292837818E-2</v>
      </c>
      <c r="N29" s="20">
        <v>2.0734140902077965E-3</v>
      </c>
      <c r="O29" s="20">
        <v>0</v>
      </c>
      <c r="P29" s="20">
        <v>1.355546709176075E-2</v>
      </c>
      <c r="Q29" s="20">
        <v>1.4490638837978001E-4</v>
      </c>
      <c r="R29" s="20">
        <v>4.5586226414849537E-3</v>
      </c>
      <c r="S29" s="20">
        <v>1.4366989212235193E-4</v>
      </c>
      <c r="T29" s="20">
        <v>1.8719689317867334E-4</v>
      </c>
      <c r="U29" s="20">
        <v>1.6513237481653781E-3</v>
      </c>
      <c r="V29" s="20">
        <v>1.1558006042306576E-2</v>
      </c>
      <c r="W29" s="20">
        <v>1</v>
      </c>
      <c r="Y29" s="2">
        <v>6</v>
      </c>
      <c r="Z29" s="2" t="str">
        <f>VLOOKUP(Y29,WLs!$A$4:$C$23,3,FALSE)</f>
        <v>Tochten H</v>
      </c>
      <c r="AA29" s="20">
        <v>8.6849940066086651E-2</v>
      </c>
      <c r="AB29" s="20">
        <v>2.768570681684334E-2</v>
      </c>
      <c r="AC29" s="20">
        <v>6.1011340603485405E-2</v>
      </c>
      <c r="AD29" s="20">
        <v>8.4462556065197122E-5</v>
      </c>
      <c r="AE29" s="20">
        <v>2.1441425668361738E-2</v>
      </c>
      <c r="AF29" s="20">
        <v>9.2351372326947276E-2</v>
      </c>
      <c r="AG29" s="20">
        <v>1.0567342277026178E-2</v>
      </c>
      <c r="AH29" s="20">
        <v>0.65145619386673947</v>
      </c>
      <c r="AI29" s="20">
        <v>1.3887007536504676E-3</v>
      </c>
      <c r="AJ29" s="20">
        <v>1.1158322742345465E-4</v>
      </c>
      <c r="AK29" s="20">
        <v>9.7460838580776948E-3</v>
      </c>
      <c r="AL29" s="20">
        <v>2.2604032352665955E-3</v>
      </c>
      <c r="AM29" s="20">
        <v>0</v>
      </c>
      <c r="AN29" s="20">
        <v>1.2644492390458164E-2</v>
      </c>
      <c r="AO29" s="20">
        <v>2.4749431863959275E-4</v>
      </c>
      <c r="AP29" s="20">
        <v>7.3304661114651842E-3</v>
      </c>
      <c r="AQ29" s="20">
        <v>1.0539951055087827E-4</v>
      </c>
      <c r="AR29" s="20">
        <v>1.7952161880169622E-4</v>
      </c>
      <c r="AS29" s="20">
        <v>1.1222471925529411E-3</v>
      </c>
      <c r="AT29" s="20">
        <v>1.3415823601558161E-2</v>
      </c>
      <c r="AU29" s="20">
        <f t="shared" si="1"/>
        <v>1</v>
      </c>
    </row>
    <row r="30" spans="1:47" x14ac:dyDescent="0.3">
      <c r="A30" s="2">
        <v>7</v>
      </c>
      <c r="B30" s="2" t="s">
        <v>212</v>
      </c>
      <c r="C30" s="20">
        <v>0.16350797351391624</v>
      </c>
      <c r="D30" s="20">
        <v>4.9250049658044366E-2</v>
      </c>
      <c r="E30" s="20">
        <v>4.9481773856381583E-2</v>
      </c>
      <c r="F30" s="20">
        <v>2.2741929943609772E-4</v>
      </c>
      <c r="G30" s="20">
        <v>0.11182885741124812</v>
      </c>
      <c r="H30" s="20">
        <v>7.1005964217235318E-2</v>
      </c>
      <c r="I30" s="20">
        <v>3.6843142864935306E-2</v>
      </c>
      <c r="J30" s="20">
        <v>0.4593333730014863</v>
      </c>
      <c r="K30" s="20">
        <v>2.1260047978712911E-3</v>
      </c>
      <c r="L30" s="20">
        <v>3.2743871800016612E-5</v>
      </c>
      <c r="M30" s="20">
        <v>9.8377660999143662E-3</v>
      </c>
      <c r="N30" s="20">
        <v>0</v>
      </c>
      <c r="O30" s="20">
        <v>0</v>
      </c>
      <c r="P30" s="20">
        <v>2.3266804513095232E-2</v>
      </c>
      <c r="Q30" s="20">
        <v>2.5548584998629913E-4</v>
      </c>
      <c r="R30" s="20">
        <v>2.0426419984308896E-2</v>
      </c>
      <c r="S30" s="20">
        <v>2.655241762678592E-4</v>
      </c>
      <c r="T30" s="20">
        <v>1.3878708234352129E-5</v>
      </c>
      <c r="U30" s="20">
        <v>1.7829418692236342E-3</v>
      </c>
      <c r="V30" s="20">
        <v>5.1387630661478816E-4</v>
      </c>
      <c r="W30" s="20">
        <v>0.99999999999999978</v>
      </c>
      <c r="Y30" s="2">
        <v>7</v>
      </c>
      <c r="Z30" s="2" t="str">
        <f>VLOOKUP(Y30,WLs!$A$4:$C$23,3,FALSE)</f>
        <v>Tochten J</v>
      </c>
      <c r="AA30" s="20">
        <v>0.16614137467803414</v>
      </c>
      <c r="AB30" s="20">
        <v>5.1797165430541331E-2</v>
      </c>
      <c r="AC30" s="20">
        <v>5.5124632480170542E-2</v>
      </c>
      <c r="AD30" s="20">
        <v>2.0994883502563097E-4</v>
      </c>
      <c r="AE30" s="20">
        <v>0.11266556414748358</v>
      </c>
      <c r="AF30" s="20">
        <v>7.2453003051047155E-2</v>
      </c>
      <c r="AG30" s="20">
        <v>4.0874705157760198E-2</v>
      </c>
      <c r="AH30" s="20">
        <v>0.4332501404027938</v>
      </c>
      <c r="AI30" s="20">
        <v>1.4322626924028726E-3</v>
      </c>
      <c r="AJ30" s="20">
        <v>3.9201081633675317E-5</v>
      </c>
      <c r="AK30" s="20">
        <v>8.6559883866751987E-3</v>
      </c>
      <c r="AL30" s="20">
        <v>0</v>
      </c>
      <c r="AM30" s="20">
        <v>0</v>
      </c>
      <c r="AN30" s="20">
        <v>2.4752334147011348E-2</v>
      </c>
      <c r="AO30" s="20">
        <v>4.0863293085062805E-4</v>
      </c>
      <c r="AP30" s="20">
        <v>2.5197099877184635E-2</v>
      </c>
      <c r="AQ30" s="20">
        <v>2.4334805443651373E-4</v>
      </c>
      <c r="AR30" s="20">
        <v>1.1603447442720969E-5</v>
      </c>
      <c r="AS30" s="20">
        <v>1.3258652959148151E-3</v>
      </c>
      <c r="AT30" s="20">
        <v>5.4171299035913091E-3</v>
      </c>
      <c r="AU30" s="20">
        <f t="shared" si="1"/>
        <v>1.0000000000000002</v>
      </c>
    </row>
    <row r="31" spans="1:47" x14ac:dyDescent="0.3">
      <c r="A31" s="2">
        <v>8</v>
      </c>
      <c r="B31" s="2" t="s">
        <v>216</v>
      </c>
      <c r="C31" s="20">
        <v>0.30400756972236376</v>
      </c>
      <c r="D31" s="20">
        <v>4.6275738925568459E-2</v>
      </c>
      <c r="E31" s="20">
        <v>3.6952976501768417E-2</v>
      </c>
      <c r="F31" s="20">
        <v>4.7284372066680252E-4</v>
      </c>
      <c r="G31" s="20">
        <v>0.16167265553592544</v>
      </c>
      <c r="H31" s="20">
        <v>8.8137363914665104E-2</v>
      </c>
      <c r="I31" s="20">
        <v>1.5248060144209322E-2</v>
      </c>
      <c r="J31" s="20">
        <v>0.16761335036030359</v>
      </c>
      <c r="K31" s="20">
        <v>2.5586921870260943E-3</v>
      </c>
      <c r="L31" s="20">
        <v>4.9899285165436137E-3</v>
      </c>
      <c r="M31" s="20">
        <v>1.1922728844721339E-2</v>
      </c>
      <c r="N31" s="20">
        <v>0</v>
      </c>
      <c r="O31" s="20">
        <v>0</v>
      </c>
      <c r="P31" s="20">
        <v>1.0597854527374939E-2</v>
      </c>
      <c r="Q31" s="20">
        <v>4.778123250452116E-4</v>
      </c>
      <c r="R31" s="20">
        <v>1.4558273340286941E-3</v>
      </c>
      <c r="S31" s="20">
        <v>1.1777655543248041E-4</v>
      </c>
      <c r="T31" s="20">
        <v>3.6821453655429651E-6</v>
      </c>
      <c r="U31" s="20">
        <v>1.2082000058814663E-3</v>
      </c>
      <c r="V31" s="20">
        <v>0.14628693873310969</v>
      </c>
      <c r="W31" s="20">
        <v>0.99999999999999978</v>
      </c>
      <c r="Y31" s="2">
        <v>8</v>
      </c>
      <c r="Z31" s="2" t="str">
        <f>VLOOKUP(Y31,WLs!$A$4:$C$23,3,FALSE)</f>
        <v>Tochten lage afdeling NOP</v>
      </c>
      <c r="AA31" s="20">
        <v>0.32107753469335198</v>
      </c>
      <c r="AB31" s="20">
        <v>4.6992478935215048E-2</v>
      </c>
      <c r="AC31" s="20">
        <v>4.1588918445164741E-2</v>
      </c>
      <c r="AD31" s="20">
        <v>4.8378865742898871E-4</v>
      </c>
      <c r="AE31" s="20">
        <v>0.17472377899845307</v>
      </c>
      <c r="AF31" s="20">
        <v>9.2697489022284169E-2</v>
      </c>
      <c r="AG31" s="20">
        <v>2.0280327714452463E-2</v>
      </c>
      <c r="AH31" s="20">
        <v>0.1712660115127019</v>
      </c>
      <c r="AI31" s="20">
        <v>1.8607087929626074E-3</v>
      </c>
      <c r="AJ31" s="20">
        <v>4.220442795133653E-3</v>
      </c>
      <c r="AK31" s="20">
        <v>1.0508865706920445E-2</v>
      </c>
      <c r="AL31" s="20">
        <v>3.2036471067771704E-4</v>
      </c>
      <c r="AM31" s="20">
        <v>3.4410499834692452E-5</v>
      </c>
      <c r="AN31" s="20">
        <v>1.3307971667808029E-2</v>
      </c>
      <c r="AO31" s="20">
        <v>7.2339926652099159E-4</v>
      </c>
      <c r="AP31" s="20">
        <v>3.1981795928487191E-3</v>
      </c>
      <c r="AQ31" s="20">
        <v>1.3298076725907926E-4</v>
      </c>
      <c r="AR31" s="20">
        <v>2.3012576731988395E-5</v>
      </c>
      <c r="AS31" s="20">
        <v>9.6903214665496518E-4</v>
      </c>
      <c r="AT31" s="20">
        <v>9.5590303497594786E-2</v>
      </c>
      <c r="AU31" s="20">
        <f t="shared" si="1"/>
        <v>1.0000000000000002</v>
      </c>
    </row>
    <row r="32" spans="1:47" x14ac:dyDescent="0.3">
      <c r="A32" s="2">
        <v>18</v>
      </c>
      <c r="B32" s="2" t="s">
        <v>264</v>
      </c>
      <c r="C32" s="20">
        <v>1.898351035054912E-2</v>
      </c>
      <c r="D32" s="20">
        <v>3.2892014645448915E-3</v>
      </c>
      <c r="E32" s="20">
        <v>3.4349276790688835E-3</v>
      </c>
      <c r="F32" s="20">
        <v>7.4622822433115214E-5</v>
      </c>
      <c r="G32" s="20">
        <v>4.1970993149545331E-3</v>
      </c>
      <c r="H32" s="20">
        <v>9.1694195674896506E-3</v>
      </c>
      <c r="I32" s="20">
        <v>0.37456867034062147</v>
      </c>
      <c r="J32" s="20">
        <v>8.0391914440782319E-3</v>
      </c>
      <c r="K32" s="20">
        <v>0</v>
      </c>
      <c r="L32" s="20">
        <v>2.9856272271618751E-3</v>
      </c>
      <c r="M32" s="20">
        <v>9.3872380120227079E-4</v>
      </c>
      <c r="N32" s="20">
        <v>0</v>
      </c>
      <c r="O32" s="20">
        <v>0</v>
      </c>
      <c r="P32" s="20">
        <v>0.34567148281211302</v>
      </c>
      <c r="Q32" s="20">
        <v>0</v>
      </c>
      <c r="R32" s="20">
        <v>0.13252454556971843</v>
      </c>
      <c r="S32" s="20">
        <v>8.3599184704861981E-2</v>
      </c>
      <c r="T32" s="20">
        <v>0</v>
      </c>
      <c r="U32" s="20">
        <v>1.2523792901202783E-2</v>
      </c>
      <c r="V32" s="20">
        <v>0</v>
      </c>
      <c r="W32" s="20">
        <v>1</v>
      </c>
      <c r="Y32" s="2">
        <v>18</v>
      </c>
      <c r="Z32" s="2" t="str">
        <f>VLOOKUP(Y32,WLs!$A$4:$C$23,3,FALSE)</f>
        <v>Oostvaardersplassen</v>
      </c>
      <c r="AA32" s="20">
        <v>8.8809684440800136E-3</v>
      </c>
      <c r="AB32" s="20">
        <v>2.0503148617169609E-3</v>
      </c>
      <c r="AC32" s="20">
        <v>2.4380617070678397E-3</v>
      </c>
      <c r="AD32" s="20">
        <v>3.4389501397966771E-5</v>
      </c>
      <c r="AE32" s="20">
        <v>3.2350812004585251E-3</v>
      </c>
      <c r="AF32" s="20">
        <v>5.3461056220400109E-3</v>
      </c>
      <c r="AG32" s="20">
        <v>0.31521909571243112</v>
      </c>
      <c r="AH32" s="20">
        <v>6.6078335844129343E-3</v>
      </c>
      <c r="AI32" s="20">
        <v>1.0018730997473438E-4</v>
      </c>
      <c r="AJ32" s="20">
        <v>1.4142671198970188E-3</v>
      </c>
      <c r="AK32" s="20">
        <v>5.6329083085413108E-4</v>
      </c>
      <c r="AL32" s="20">
        <v>0</v>
      </c>
      <c r="AM32" s="20">
        <v>0</v>
      </c>
      <c r="AN32" s="20">
        <v>0.41787744122606052</v>
      </c>
      <c r="AO32" s="20">
        <v>0</v>
      </c>
      <c r="AP32" s="20">
        <v>0.18786324481653099</v>
      </c>
      <c r="AQ32" s="20">
        <v>4.7515818046043455E-2</v>
      </c>
      <c r="AR32" s="20">
        <v>0</v>
      </c>
      <c r="AS32" s="20">
        <v>8.5390001703381511E-4</v>
      </c>
      <c r="AT32" s="20">
        <v>0</v>
      </c>
      <c r="AU32" s="20">
        <f t="shared" si="1"/>
        <v>0.99999999999999989</v>
      </c>
    </row>
    <row r="33" spans="1:47" x14ac:dyDescent="0.3">
      <c r="A33" s="2">
        <v>9</v>
      </c>
      <c r="B33" s="2" t="s">
        <v>220</v>
      </c>
      <c r="C33" s="20">
        <v>0.26681731073162829</v>
      </c>
      <c r="D33" s="20">
        <v>4.1459746742782508E-2</v>
      </c>
      <c r="E33" s="20">
        <v>4.8188658898750354E-2</v>
      </c>
      <c r="F33" s="20">
        <v>6.0707285871759178E-4</v>
      </c>
      <c r="G33" s="20">
        <v>0.10118247211748849</v>
      </c>
      <c r="H33" s="20">
        <v>6.5882649593832332E-2</v>
      </c>
      <c r="I33" s="20">
        <v>1.3591609884712256E-2</v>
      </c>
      <c r="J33" s="20">
        <v>0.18532392764935046</v>
      </c>
      <c r="K33" s="20">
        <v>3.559096869958739E-3</v>
      </c>
      <c r="L33" s="20">
        <v>7.4772823376763843E-3</v>
      </c>
      <c r="M33" s="20">
        <v>1.2383502960780982E-2</v>
      </c>
      <c r="N33" s="20">
        <v>0</v>
      </c>
      <c r="O33" s="20">
        <v>0</v>
      </c>
      <c r="P33" s="20">
        <v>1.7610474355182863E-2</v>
      </c>
      <c r="Q33" s="20">
        <v>1.6413868798031853E-4</v>
      </c>
      <c r="R33" s="20">
        <v>4.1710766519038514E-4</v>
      </c>
      <c r="S33" s="20">
        <v>1.9243949397493529E-5</v>
      </c>
      <c r="T33" s="20">
        <v>8.929616440777428E-5</v>
      </c>
      <c r="U33" s="20">
        <v>9.0103723439682924E-4</v>
      </c>
      <c r="V33" s="20">
        <v>0.23432537129776612</v>
      </c>
      <c r="W33" s="20">
        <v>0.99999999999999989</v>
      </c>
      <c r="Y33" s="2">
        <v>9</v>
      </c>
      <c r="Z33" s="2" t="str">
        <f>VLOOKUP(Y33,WLs!$A$4:$C$23,3,FALSE)</f>
        <v>Tochten hoge afdeling NOP</v>
      </c>
      <c r="AA33" s="20">
        <v>0.26167032082589237</v>
      </c>
      <c r="AB33" s="20">
        <v>3.9777643449392462E-2</v>
      </c>
      <c r="AC33" s="20">
        <v>5.5231096391900825E-2</v>
      </c>
      <c r="AD33" s="20">
        <v>4.8791194323145935E-4</v>
      </c>
      <c r="AE33" s="20">
        <v>0.10611047442250864</v>
      </c>
      <c r="AF33" s="20">
        <v>7.0444532756406775E-2</v>
      </c>
      <c r="AG33" s="20">
        <v>1.7632060762574866E-2</v>
      </c>
      <c r="AH33" s="20">
        <v>0.18170696307839737</v>
      </c>
      <c r="AI33" s="20">
        <v>2.1785977871020615E-3</v>
      </c>
      <c r="AJ33" s="20">
        <v>5.1899726913693421E-3</v>
      </c>
      <c r="AK33" s="20">
        <v>1.0224224513294468E-2</v>
      </c>
      <c r="AL33" s="20">
        <v>5.727410207932927E-6</v>
      </c>
      <c r="AM33" s="20">
        <v>5.5095705594777043E-7</v>
      </c>
      <c r="AN33" s="20">
        <v>1.7502315460024592E-2</v>
      </c>
      <c r="AO33" s="20">
        <v>2.3295506661253598E-4</v>
      </c>
      <c r="AP33" s="20">
        <v>1.1603415098929465E-3</v>
      </c>
      <c r="AQ33" s="20">
        <v>1.9391679898822475E-5</v>
      </c>
      <c r="AR33" s="20">
        <v>7.8133302769807535E-5</v>
      </c>
      <c r="AS33" s="20">
        <v>7.7060061299290326E-4</v>
      </c>
      <c r="AT33" s="20">
        <v>0.22957618537847385</v>
      </c>
      <c r="AU33" s="20">
        <f t="shared" si="1"/>
        <v>1</v>
      </c>
    </row>
    <row r="34" spans="1:47" x14ac:dyDescent="0.3">
      <c r="A34" s="2">
        <v>10</v>
      </c>
      <c r="B34" s="2" t="s">
        <v>224</v>
      </c>
      <c r="C34" s="20">
        <v>0.25846339629224857</v>
      </c>
      <c r="D34" s="20">
        <v>4.0172088251741706E-2</v>
      </c>
      <c r="E34" s="20">
        <v>3.4037416214870136E-2</v>
      </c>
      <c r="F34" s="20">
        <v>4.2548090112528008E-4</v>
      </c>
      <c r="G34" s="20">
        <v>0.13256138295187661</v>
      </c>
      <c r="H34" s="20">
        <v>7.5612711840113284E-2</v>
      </c>
      <c r="I34" s="20">
        <v>1.6469043315827405E-2</v>
      </c>
      <c r="J34" s="20">
        <v>0.22970490957341391</v>
      </c>
      <c r="K34" s="20">
        <v>2.2693824894851754E-3</v>
      </c>
      <c r="L34" s="20">
        <v>4.4627255477493865E-3</v>
      </c>
      <c r="M34" s="20">
        <v>1.0416450150766492E-2</v>
      </c>
      <c r="N34" s="20">
        <v>2.610871677570336E-2</v>
      </c>
      <c r="O34" s="20">
        <v>0</v>
      </c>
      <c r="P34" s="20">
        <v>1.113762080470004E-2</v>
      </c>
      <c r="Q34" s="20">
        <v>4.5267083687411223E-4</v>
      </c>
      <c r="R34" s="20">
        <v>1.340274032608869E-3</v>
      </c>
      <c r="S34" s="20">
        <v>8.6822470993613241E-5</v>
      </c>
      <c r="T34" s="20">
        <v>6.3798292930171885E-4</v>
      </c>
      <c r="U34" s="20">
        <v>1.0569313407884518E-3</v>
      </c>
      <c r="V34" s="20">
        <v>0.15458399327981173</v>
      </c>
      <c r="W34" s="20">
        <v>1</v>
      </c>
      <c r="Y34" s="2">
        <v>10</v>
      </c>
      <c r="Z34" s="2" t="str">
        <f>VLOOKUP(Y34,WLs!$A$4:$C$23,3,FALSE)</f>
        <v>Vaarten NOP</v>
      </c>
      <c r="AA34" s="20">
        <v>0.27422908471409646</v>
      </c>
      <c r="AB34" s="20">
        <v>4.119510594842863E-2</v>
      </c>
      <c r="AC34" s="20">
        <v>3.8970178391015603E-2</v>
      </c>
      <c r="AD34" s="20">
        <v>4.2307519739464124E-4</v>
      </c>
      <c r="AE34" s="20">
        <v>0.14496805660930293</v>
      </c>
      <c r="AF34" s="20">
        <v>8.1023585639845228E-2</v>
      </c>
      <c r="AG34" s="20">
        <v>2.0515511155492678E-2</v>
      </c>
      <c r="AH34" s="20">
        <v>0.23297875160463935</v>
      </c>
      <c r="AI34" s="20">
        <v>1.5896617614725393E-3</v>
      </c>
      <c r="AJ34" s="20">
        <v>3.6004800400918397E-3</v>
      </c>
      <c r="AK34" s="20">
        <v>9.0126020902428477E-3</v>
      </c>
      <c r="AL34" s="20">
        <v>3.2515120921805307E-2</v>
      </c>
      <c r="AM34" s="20">
        <v>2.2785063945538459E-5</v>
      </c>
      <c r="AN34" s="20">
        <v>1.32080471540364E-2</v>
      </c>
      <c r="AO34" s="20">
        <v>7.1178520745922443E-4</v>
      </c>
      <c r="AP34" s="20">
        <v>3.0935459161639208E-3</v>
      </c>
      <c r="AQ34" s="20">
        <v>9.4633784666049936E-5</v>
      </c>
      <c r="AR34" s="20">
        <v>5.9169268975927042E-4</v>
      </c>
      <c r="AS34" s="20">
        <v>8.2314289822546223E-4</v>
      </c>
      <c r="AT34" s="20">
        <v>0.10043315321191609</v>
      </c>
      <c r="AU34" s="20">
        <f t="shared" si="1"/>
        <v>1</v>
      </c>
    </row>
    <row r="35" spans="1:47" x14ac:dyDescent="0.3">
      <c r="A35" s="2">
        <v>11</v>
      </c>
      <c r="B35" s="2" t="s">
        <v>229</v>
      </c>
      <c r="C35" s="20">
        <v>8.143009668910145E-2</v>
      </c>
      <c r="D35" s="20">
        <v>2.2776026687747065E-2</v>
      </c>
      <c r="E35" s="20">
        <v>3.2722230896864532E-2</v>
      </c>
      <c r="F35" s="20">
        <v>1.4312998221701923E-4</v>
      </c>
      <c r="G35" s="20">
        <v>7.4758920048146466E-2</v>
      </c>
      <c r="H35" s="20">
        <v>7.059093815880009E-2</v>
      </c>
      <c r="I35" s="20">
        <v>7.3461132119093178E-2</v>
      </c>
      <c r="J35" s="20">
        <v>0.52274041361105728</v>
      </c>
      <c r="K35" s="20">
        <v>3.0072835138966482E-3</v>
      </c>
      <c r="L35" s="20">
        <v>4.0011926247846265E-5</v>
      </c>
      <c r="M35" s="20">
        <v>7.9698742713274658E-3</v>
      </c>
      <c r="N35" s="20">
        <v>9.941726013581122E-3</v>
      </c>
      <c r="O35" s="20">
        <v>0</v>
      </c>
      <c r="P35" s="20">
        <v>3.8256367796628214E-2</v>
      </c>
      <c r="Q35" s="20">
        <v>1.3163705986423495E-4</v>
      </c>
      <c r="R35" s="20">
        <v>2.203618172097787E-2</v>
      </c>
      <c r="S35" s="20">
        <v>9.4076787278724115E-4</v>
      </c>
      <c r="T35" s="20">
        <v>8.1446691190688412E-4</v>
      </c>
      <c r="U35" s="20">
        <v>1.4655942713298737E-3</v>
      </c>
      <c r="V35" s="20">
        <v>3.6773200448425594E-2</v>
      </c>
      <c r="W35" s="20">
        <v>0.99999999999999989</v>
      </c>
      <c r="Y35" s="2">
        <v>11</v>
      </c>
      <c r="Z35" s="2" t="str">
        <f>VLOOKUP(Y35,WLs!$A$4:$C$23,3,FALSE)</f>
        <v>Vaarten hoge afdeling ZOF</v>
      </c>
      <c r="AA35" s="20">
        <v>8.408164203885729E-2</v>
      </c>
      <c r="AB35" s="20">
        <v>2.3710478380448232E-2</v>
      </c>
      <c r="AC35" s="20">
        <v>3.9948669794753568E-2</v>
      </c>
      <c r="AD35" s="20">
        <v>1.2893157543888758E-4</v>
      </c>
      <c r="AE35" s="20">
        <v>7.572189853236394E-2</v>
      </c>
      <c r="AF35" s="20">
        <v>7.6466928037566426E-2</v>
      </c>
      <c r="AG35" s="20">
        <v>7.4743037215167119E-2</v>
      </c>
      <c r="AH35" s="20">
        <v>0.50264292535938804</v>
      </c>
      <c r="AI35" s="20">
        <v>2.0495796890545037E-3</v>
      </c>
      <c r="AJ35" s="20">
        <v>3.0041797483396004E-5</v>
      </c>
      <c r="AK35" s="20">
        <v>7.2271998228205965E-3</v>
      </c>
      <c r="AL35" s="20">
        <v>9.6602412484110504E-3</v>
      </c>
      <c r="AM35" s="20">
        <v>0</v>
      </c>
      <c r="AN35" s="20">
        <v>3.5812149351170219E-2</v>
      </c>
      <c r="AO35" s="20">
        <v>2.2135933267885619E-4</v>
      </c>
      <c r="AP35" s="20">
        <v>3.0918750604161879E-2</v>
      </c>
      <c r="AQ35" s="20">
        <v>6.8913663544033189E-4</v>
      </c>
      <c r="AR35" s="20">
        <v>6.9572903852441507E-4</v>
      </c>
      <c r="AS35" s="20">
        <v>6.5969619898630018E-4</v>
      </c>
      <c r="AT35" s="20">
        <v>3.4591605347285011E-2</v>
      </c>
      <c r="AU35" s="20">
        <f t="shared" si="1"/>
        <v>1.0000000000000002</v>
      </c>
    </row>
    <row r="36" spans="1:47" x14ac:dyDescent="0.3">
      <c r="A36" s="2">
        <v>12</v>
      </c>
      <c r="B36" s="2" t="s">
        <v>233</v>
      </c>
      <c r="C36" s="20">
        <v>8.9835003520998824E-2</v>
      </c>
      <c r="D36" s="20">
        <v>2.8997500450753014E-2</v>
      </c>
      <c r="E36" s="20">
        <v>4.0271695746915318E-2</v>
      </c>
      <c r="F36" s="20">
        <v>1.0681575796611081E-4</v>
      </c>
      <c r="G36" s="20">
        <v>4.262200832716926E-2</v>
      </c>
      <c r="H36" s="20">
        <v>6.6632195962687157E-2</v>
      </c>
      <c r="I36" s="20">
        <v>3.6257926140961433E-2</v>
      </c>
      <c r="J36" s="20">
        <v>0.56718080224046752</v>
      </c>
      <c r="K36" s="20">
        <v>1.6781673782995982E-3</v>
      </c>
      <c r="L36" s="20">
        <v>2.2416122721037814E-3</v>
      </c>
      <c r="M36" s="20">
        <v>7.7114381558186472E-3</v>
      </c>
      <c r="N36" s="20">
        <v>6.1185897622907888E-2</v>
      </c>
      <c r="O36" s="20">
        <v>7.0898295579639226E-4</v>
      </c>
      <c r="P36" s="20">
        <v>1.8407577927221277E-2</v>
      </c>
      <c r="Q36" s="20">
        <v>2.4854022508774261E-4</v>
      </c>
      <c r="R36" s="20">
        <v>1.5820592150837299E-2</v>
      </c>
      <c r="S36" s="20">
        <v>8.6374301057497475E-4</v>
      </c>
      <c r="T36" s="20">
        <v>5.5953673421975142E-4</v>
      </c>
      <c r="U36" s="20">
        <v>1.3080287042250385E-3</v>
      </c>
      <c r="V36" s="20">
        <v>1.7361934714988973E-2</v>
      </c>
      <c r="W36" s="20">
        <v>1.0000000000000002</v>
      </c>
      <c r="Y36" s="2">
        <v>12</v>
      </c>
      <c r="Z36" s="2" t="str">
        <f>VLOOKUP(Y36,WLs!$A$4:$C$23,3,FALSE)</f>
        <v>Vaarten lage afdeling ZOF</v>
      </c>
      <c r="AA36" s="20">
        <v>9.7264351789676642E-2</v>
      </c>
      <c r="AB36" s="20">
        <v>3.202954617135037E-2</v>
      </c>
      <c r="AC36" s="20">
        <v>4.8225014449082261E-2</v>
      </c>
      <c r="AD36" s="20">
        <v>1.032467071748682E-4</v>
      </c>
      <c r="AE36" s="20">
        <v>4.4337309801332513E-2</v>
      </c>
      <c r="AF36" s="20">
        <v>7.3380105906450652E-2</v>
      </c>
      <c r="AG36" s="20">
        <v>3.8966520945299815E-2</v>
      </c>
      <c r="AH36" s="20">
        <v>0.54310768111143948</v>
      </c>
      <c r="AI36" s="20">
        <v>1.1378558320705098E-3</v>
      </c>
      <c r="AJ36" s="20">
        <v>1.253536988351824E-3</v>
      </c>
      <c r="AK36" s="20">
        <v>6.7561597007625117E-3</v>
      </c>
      <c r="AL36" s="20">
        <v>5.6453792940609843E-2</v>
      </c>
      <c r="AM36" s="20">
        <v>1.3052229312726993E-3</v>
      </c>
      <c r="AN36" s="20">
        <v>1.9472749766585709E-2</v>
      </c>
      <c r="AO36" s="20">
        <v>3.8013396080603185E-4</v>
      </c>
      <c r="AP36" s="20">
        <v>2.2344145639650519E-2</v>
      </c>
      <c r="AQ36" s="20">
        <v>6.908732424729786E-4</v>
      </c>
      <c r="AR36" s="20">
        <v>4.8457025691635416E-4</v>
      </c>
      <c r="AS36" s="20">
        <v>9.0040528056035106E-4</v>
      </c>
      <c r="AT36" s="20">
        <v>1.1406776578134032E-2</v>
      </c>
      <c r="AU36" s="20">
        <f t="shared" si="1"/>
        <v>1</v>
      </c>
    </row>
    <row r="38" spans="1:47" x14ac:dyDescent="0.3">
      <c r="C38" t="s">
        <v>476</v>
      </c>
    </row>
    <row r="39" spans="1:47" x14ac:dyDescent="0.3">
      <c r="C39" s="27">
        <v>1</v>
      </c>
      <c r="D39" s="136" t="s">
        <v>477</v>
      </c>
    </row>
    <row r="40" spans="1:47" x14ac:dyDescent="0.3">
      <c r="C40" s="27">
        <v>2</v>
      </c>
      <c r="D40" s="136" t="s">
        <v>478</v>
      </c>
    </row>
    <row r="42" spans="1:47" x14ac:dyDescent="0.3">
      <c r="B42" t="s">
        <v>479</v>
      </c>
      <c r="C42">
        <v>3</v>
      </c>
      <c r="D42">
        <f>C42+1</f>
        <v>4</v>
      </c>
      <c r="E42">
        <f t="shared" ref="E42:AU42" si="2">D42+1</f>
        <v>5</v>
      </c>
      <c r="F42">
        <f t="shared" si="2"/>
        <v>6</v>
      </c>
      <c r="G42">
        <f t="shared" si="2"/>
        <v>7</v>
      </c>
      <c r="H42">
        <f t="shared" si="2"/>
        <v>8</v>
      </c>
      <c r="I42">
        <f t="shared" si="2"/>
        <v>9</v>
      </c>
      <c r="J42">
        <f t="shared" si="2"/>
        <v>10</v>
      </c>
      <c r="K42">
        <f t="shared" si="2"/>
        <v>11</v>
      </c>
      <c r="L42">
        <f t="shared" si="2"/>
        <v>12</v>
      </c>
      <c r="M42">
        <f t="shared" si="2"/>
        <v>13</v>
      </c>
      <c r="N42">
        <f t="shared" si="2"/>
        <v>14</v>
      </c>
      <c r="O42">
        <f t="shared" si="2"/>
        <v>15</v>
      </c>
      <c r="P42">
        <f t="shared" si="2"/>
        <v>16</v>
      </c>
      <c r="Q42">
        <f t="shared" si="2"/>
        <v>17</v>
      </c>
      <c r="R42">
        <f t="shared" si="2"/>
        <v>18</v>
      </c>
      <c r="S42">
        <f t="shared" si="2"/>
        <v>19</v>
      </c>
      <c r="T42">
        <f t="shared" si="2"/>
        <v>20</v>
      </c>
      <c r="U42">
        <f t="shared" si="2"/>
        <v>21</v>
      </c>
      <c r="V42">
        <f t="shared" si="2"/>
        <v>22</v>
      </c>
      <c r="W42">
        <f t="shared" si="2"/>
        <v>23</v>
      </c>
      <c r="X42">
        <f t="shared" si="2"/>
        <v>24</v>
      </c>
      <c r="Y42">
        <f t="shared" si="2"/>
        <v>25</v>
      </c>
      <c r="Z42">
        <f t="shared" si="2"/>
        <v>26</v>
      </c>
      <c r="AA42">
        <f t="shared" si="2"/>
        <v>27</v>
      </c>
      <c r="AB42">
        <f t="shared" si="2"/>
        <v>28</v>
      </c>
      <c r="AC42">
        <f t="shared" si="2"/>
        <v>29</v>
      </c>
      <c r="AD42">
        <f t="shared" si="2"/>
        <v>30</v>
      </c>
      <c r="AE42">
        <f t="shared" si="2"/>
        <v>31</v>
      </c>
      <c r="AF42">
        <f t="shared" si="2"/>
        <v>32</v>
      </c>
      <c r="AG42">
        <f t="shared" si="2"/>
        <v>33</v>
      </c>
      <c r="AH42">
        <f t="shared" si="2"/>
        <v>34</v>
      </c>
      <c r="AI42">
        <f t="shared" si="2"/>
        <v>35</v>
      </c>
      <c r="AJ42">
        <f t="shared" si="2"/>
        <v>36</v>
      </c>
      <c r="AK42">
        <f t="shared" si="2"/>
        <v>37</v>
      </c>
      <c r="AL42">
        <f t="shared" si="2"/>
        <v>38</v>
      </c>
      <c r="AM42">
        <f t="shared" si="2"/>
        <v>39</v>
      </c>
      <c r="AN42">
        <f t="shared" si="2"/>
        <v>40</v>
      </c>
      <c r="AO42">
        <f t="shared" si="2"/>
        <v>41</v>
      </c>
      <c r="AP42">
        <f t="shared" si="2"/>
        <v>42</v>
      </c>
      <c r="AQ42">
        <f t="shared" si="2"/>
        <v>43</v>
      </c>
      <c r="AR42">
        <f t="shared" si="2"/>
        <v>44</v>
      </c>
      <c r="AS42">
        <f t="shared" si="2"/>
        <v>45</v>
      </c>
      <c r="AT42">
        <f t="shared" si="2"/>
        <v>46</v>
      </c>
      <c r="AU42">
        <f t="shared" si="2"/>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Zaakstuk" ma:contentTypeID="0x010100175E1A50EFE658448B3CA03ECC91CF440065CFD5FDEAEBC74B9A09E1F59F08B8E9" ma:contentTypeVersion="56" ma:contentTypeDescription="Een nieuw document maken." ma:contentTypeScope="" ma:versionID="c25afeea4a33bae8f1f61f03b70e964c">
  <xsd:schema xmlns:xsd="http://www.w3.org/2001/XMLSchema" xmlns:xs="http://www.w3.org/2001/XMLSchema" xmlns:p="http://schemas.microsoft.com/office/2006/metadata/properties" xmlns:ns1="http://schemas.microsoft.com/sharepoint/v3" xmlns:ns2="a16f362e-6192-4b5b-90bb-17561aa11c9d" xmlns:ns3="22d40de6-64c0-4628-8ac4-aeab4a26fb1f" xmlns:ns4="b5b5288e-d294-41b5-bb1b-cbebeac80b98" xmlns:ns5="http://schemas.microsoft.com/sharepoint/v4" xmlns:ns6="6decdb89-24cf-4814-a3cb-f5ada4a8aae9" xmlns:ns7="cdd9013c-d931-4a64-83d1-4d05f82898a7" targetNamespace="http://schemas.microsoft.com/office/2006/metadata/properties" ma:root="true" ma:fieldsID="ad16b3445816c8ed6df6077cbb3f179b" ns1:_="" ns2:_="" ns3:_="" ns4:_="" ns5:_="" ns6:_="" ns7:_="">
    <xsd:import namespace="http://schemas.microsoft.com/sharepoint/v3"/>
    <xsd:import namespace="a16f362e-6192-4b5b-90bb-17561aa11c9d"/>
    <xsd:import namespace="22d40de6-64c0-4628-8ac4-aeab4a26fb1f"/>
    <xsd:import namespace="b5b5288e-d294-41b5-bb1b-cbebeac80b98"/>
    <xsd:import namespace="http://schemas.microsoft.com/sharepoint/v4"/>
    <xsd:import namespace="6decdb89-24cf-4814-a3cb-f5ada4a8aae9"/>
    <xsd:import namespace="cdd9013c-d931-4a64-83d1-4d05f82898a7"/>
    <xsd:element name="properties">
      <xsd:complexType>
        <xsd:sequence>
          <xsd:element name="documentManagement">
            <xsd:complexType>
              <xsd:all>
                <xsd:element ref="ns2:_dlc_DocId" minOccurs="0"/>
                <xsd:element ref="ns2:_dlc_DocIdUrl" minOccurs="0"/>
                <xsd:element ref="ns2:_dlc_DocIdPersistId" minOccurs="0"/>
                <xsd:element ref="ns3:dms_MimeType" minOccurs="0"/>
                <xsd:element ref="ns3:dms_Taal" minOccurs="0"/>
                <xsd:element ref="ns3:dms_Vertrouwelijkheidsaanduiding" minOccurs="0"/>
                <xsd:element ref="ns3:dms_refDocId" minOccurs="0"/>
                <xsd:element ref="ns3:dms_Auteur" minOccurs="0"/>
                <xsd:element ref="ns3:dms_Formaat" minOccurs="0"/>
                <xsd:element ref="ns3:dms_DocumentType" minOccurs="0"/>
                <xsd:element ref="ns3:dms_Omschrijving" minOccurs="0"/>
                <xsd:element ref="ns3:dms_Documentstatus" minOccurs="0"/>
                <xsd:element ref="ns3:dms_Ontvangstdatum" minOccurs="0"/>
                <xsd:element ref="ns3:dms_Verzenddatum" minOccurs="0"/>
                <xsd:element ref="ns3:dms_Documentdatum" minOccurs="0"/>
                <xsd:element ref="ns3:dms_DctOmschrijving" minOccurs="0"/>
                <xsd:element ref="ns3:dms_CheckOutUser" minOccurs="0"/>
                <xsd:element ref="ns3:dms_CheckOutId" minOccurs="0"/>
                <xsd:element ref="ns3:dms_BerichtNummer" minOccurs="0"/>
                <xsd:element ref="ns3:dms_Created" minOccurs="0"/>
                <xsd:element ref="ns3:dms_CreatedBy" minOccurs="0"/>
                <xsd:element ref="ns3:dms_SkipPdf" minOccurs="0"/>
                <xsd:element ref="ns3:dms_Agendastuk" minOccurs="0"/>
                <xsd:element ref="ns3:dms_Publiceren" minOccurs="0"/>
                <xsd:element ref="ns3:HideFromDelve" minOccurs="0"/>
                <xsd:element ref="ns1:_vti_ItemDeclaredRecord" minOccurs="0"/>
                <xsd:element ref="ns3:dms_ZaakNummer" minOccurs="0"/>
                <xsd:element ref="ns4:MediaServiceMetadata" minOccurs="0"/>
                <xsd:element ref="ns4:MediaServiceFastMetadata" minOccurs="0"/>
                <xsd:element ref="ns5:IconOverlay" minOccurs="0"/>
                <xsd:element ref="ns1:_vti_ItemHoldRecordStatus" minOccurs="0"/>
                <xsd:element ref="ns4:lcf76f155ced4ddcb4097134ff3c332f" minOccurs="0"/>
                <xsd:element ref="ns6:TaxCatchAll"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element ref="ns7:SharedWithUsers" minOccurs="0"/>
                <xsd:element ref="ns7:SharedWithDetails" minOccurs="0"/>
                <xsd:element ref="ns4:ValidSignStatus" minOccurs="0"/>
                <xsd:element ref="ns4:ValidSignTransactionId" minOccurs="0"/>
                <xsd:element ref="ns4:MediaServiceDateTaken" minOccurs="0"/>
                <xsd:element ref="ns6:d79d3999a3d74111b52f60fe95dd917b" minOccurs="0"/>
                <xsd:element ref="ns4:Vergaderdatum" minOccurs="0"/>
                <xsd:element ref="ns4:MediaServiceLocation" minOccurs="0"/>
                <xsd:element ref="ns4:MediaServiceBillingMetadata" minOccurs="0"/>
                <xsd:element ref="ns3:dms_BeginGeldigheid" minOccurs="0"/>
                <xsd:element ref="ns3:dms_BeginGeldigheidOnv" minOccurs="0"/>
                <xsd:element ref="ns3:dms_EindGeldigheid" minOccurs="0"/>
                <xsd:element ref="ns3:dms_EindGeldigheidOnv" minOccurs="0"/>
                <xsd:element ref="ns3:dms_Bot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3" nillable="true" ma:displayName="Gedeclareerde record" ma:hidden="true" ma:internalName="_vti_ItemDeclaredRecord" ma:readOnly="true">
      <xsd:simpleType>
        <xsd:restriction base="dms:DateTime"/>
      </xsd:simpleType>
    </xsd:element>
    <xsd:element name="_vti_ItemHoldRecordStatus" ma:index="38" nillable="true" ma:displayName="Status van bewaring en record"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6f362e-6192-4b5b-90bb-17561aa11c9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2d40de6-64c0-4628-8ac4-aeab4a26fb1f" elementFormDefault="qualified">
    <xsd:import namespace="http://schemas.microsoft.com/office/2006/documentManagement/types"/>
    <xsd:import namespace="http://schemas.microsoft.com/office/infopath/2007/PartnerControls"/>
    <xsd:element name="dms_MimeType" ma:index="11" nillable="true" ma:displayName="MimeType" ma:internalName="dms_MimeType">
      <xsd:simpleType>
        <xsd:restriction base="dms:Text">
          <xsd:maxLength value="255"/>
        </xsd:restriction>
      </xsd:simpleType>
    </xsd:element>
    <xsd:element name="dms_Taal" ma:index="12" nillable="true" ma:displayName="Taal (document)" ma:internalName="dms_Taal">
      <xsd:simpleType>
        <xsd:restriction base="dms:Text">
          <xsd:maxLength value="255"/>
        </xsd:restriction>
      </xsd:simpleType>
    </xsd:element>
    <xsd:element name="dms_Vertrouwelijkheidsaanduiding" ma:index="13" nillable="true" ma:displayName="Vertrouwelijkheid" ma:internalName="dms_Vertrouwelijkheidsaanduiding" ma:readOnly="false">
      <xsd:simpleType>
        <xsd:restriction base="dms:Text">
          <xsd:maxLength value="255"/>
        </xsd:restriction>
      </xsd:simpleType>
    </xsd:element>
    <xsd:element name="dms_refDocId" ma:index="14" nillable="true" ma:displayName="Origineel" ma:description="Permanente referentie naar het originele document." ma:hidden="true" ma:internalName="dms_refDocId" ma:readOnly="false">
      <xsd:simpleType>
        <xsd:restriction base="dms:Text"/>
      </xsd:simpleType>
    </xsd:element>
    <xsd:element name="dms_Auteur" ma:index="15" nillable="true" ma:displayName="Auteur" ma:description="Auteur van het document" ma:internalName="dms_Auteur" ma:readOnly="false">
      <xsd:simpleType>
        <xsd:restriction base="dms:Text"/>
      </xsd:simpleType>
    </xsd:element>
    <xsd:element name="dms_Formaat" ma:index="16" nillable="true" ma:displayName="Formaat" ma:description="Formaat van het document" ma:internalName="dms_Formaat" ma:readOnly="false">
      <xsd:simpleType>
        <xsd:restriction base="dms:Text"/>
      </xsd:simpleType>
    </xsd:element>
    <xsd:element name="dms_DocumentType" ma:index="17" nillable="true" ma:displayName="Documenttype" ma:description="Documenttype" ma:internalName="dms_DocumentType" ma:readOnly="false">
      <xsd:simpleType>
        <xsd:restriction base="dms:Text"/>
      </xsd:simpleType>
    </xsd:element>
    <xsd:element name="dms_Omschrijving" ma:index="18" nillable="true" ma:displayName="Omschrijving" ma:description="Omschrijving" ma:internalName="dms_Omschrijving" ma:readOnly="false">
      <xsd:simpleType>
        <xsd:restriction base="dms:Text"/>
      </xsd:simpleType>
    </xsd:element>
    <xsd:element name="dms_Documentstatus" ma:index="19" nillable="true" ma:displayName="Documentstatus" ma:description="Documentstatus" ma:hidden="true" ma:internalName="dms_Documentstatus" ma:readOnly="false">
      <xsd:simpleType>
        <xsd:restriction base="dms:Text"/>
      </xsd:simpleType>
    </xsd:element>
    <xsd:element name="dms_Ontvangstdatum" ma:index="20" nillable="true" ma:displayName="Ontvangstdatum" ma:description="Ontvangstdatum" ma:format="DateTime" ma:hidden="true" ma:internalName="dms_Ontvangstdatum" ma:readOnly="false">
      <xsd:simpleType>
        <xsd:restriction base="dms:DateTime"/>
      </xsd:simpleType>
    </xsd:element>
    <xsd:element name="dms_Verzenddatum" ma:index="21" nillable="true" ma:displayName="Verzenddatum" ma:description="Verzenddatum" ma:format="DateTime" ma:internalName="dms_Verzenddatum" ma:readOnly="false">
      <xsd:simpleType>
        <xsd:restriction base="dms:DateTime"/>
      </xsd:simpleType>
    </xsd:element>
    <xsd:element name="dms_Documentdatum" ma:index="22" nillable="true" ma:displayName="Documentdatum" ma:description="Documentdatum" ma:format="DateTime" ma:hidden="true" ma:internalName="dms_Documentdatum" ma:readOnly="false">
      <xsd:simpleType>
        <xsd:restriction base="dms:DateTime"/>
      </xsd:simpleType>
    </xsd:element>
    <xsd:element name="dms_DctOmschrijving" ma:index="23" nillable="true" ma:displayName="DCT Omschrijving" ma:description="Documenttype Omschrijving" ma:hidden="true" ma:internalName="dms_DctOmschrijving" ma:readOnly="false">
      <xsd:simpleType>
        <xsd:restriction base="dms:Text"/>
      </xsd:simpleType>
    </xsd:element>
    <xsd:element name="dms_CheckOutUser" ma:index="24" nillable="true" ma:displayName="Uitgecheckt door (StUF)" ma:description="Uitgecheckt door (StUF)" ma:hidden="true" ma:internalName="dms_CheckOutUser" ma:readOnly="false">
      <xsd:simpleType>
        <xsd:restriction base="dms:Text"/>
      </xsd:simpleType>
    </xsd:element>
    <xsd:element name="dms_CheckOutId" ma:index="25" nillable="true" ma:displayName="Checkout ID" ma:description="Checkout ID" ma:hidden="true" ma:internalName="dms_CheckOutId" ma:readOnly="false">
      <xsd:simpleType>
        <xsd:restriction base="dms:Text"/>
      </xsd:simpleType>
    </xsd:element>
    <xsd:element name="dms_BerichtNummer" ma:index="26" nillable="true" ma:displayName="Berichtnummer" ma:indexed="true" ma:internalName="dms_BerichtNummer" ma:readOnly="false">
      <xsd:simpleType>
        <xsd:restriction base="dms:Text">
          <xsd:maxLength value="255"/>
        </xsd:restriction>
      </xsd:simpleType>
    </xsd:element>
    <xsd:element name="dms_Created" ma:index="27" nillable="true" ma:displayName="Gemaakt op (DMS)" ma:format="DateTime" ma:hidden="true" ma:internalName="dms_Created" ma:readOnly="false">
      <xsd:simpleType>
        <xsd:restriction base="dms:DateTime"/>
      </xsd:simpleType>
    </xsd:element>
    <xsd:element name="dms_CreatedBy" ma:index="28" nillable="true" ma:displayName="Gemaakt door (DMS)" ma:description="Oorspronkelijke uploader" ma:hidden="true" ma:internalName="dms_CreatedBy" ma:readOnly="false">
      <xsd:simpleType>
        <xsd:restriction base="dms:Text"/>
      </xsd:simpleType>
    </xsd:element>
    <xsd:element name="dms_SkipPdf" ma:index="29" nillable="true" ma:displayName="Geen auto PDF-A" ma:description="Optie om het automatisch PDF-A aanmaken over te slaan" ma:hidden="true" ma:internalName="dms_SkipPdf" ma:readOnly="false">
      <xsd:simpleType>
        <xsd:restriction base="dms:Boolean"/>
      </xsd:simpleType>
    </xsd:element>
    <xsd:element name="dms_Agendastuk" ma:index="30" nillable="true" ma:displayName="Agendastuk" ma:default="0" ma:description="Document is beschikbaar voor publicatie in externe agenda of vergader-app" ma:hidden="true" ma:internalName="dms_Agendastuk" ma:readOnly="false">
      <xsd:simpleType>
        <xsd:restriction base="dms:Boolean"/>
      </xsd:simpleType>
    </xsd:element>
    <xsd:element name="dms_Publiceren" ma:index="31" nillable="true" ma:displayName="Publiceren" ma:description="Document is beschikbaar voor publicatie in externe site of PIP" ma:hidden="true" ma:internalName="dms_Publiceren" ma:readOnly="false">
      <xsd:simpleType>
        <xsd:restriction base="dms:Boolean"/>
      </xsd:simpleType>
    </xsd:element>
    <xsd:element name="HideFromDelve" ma:index="32" nillable="true" ma:displayName="HideFromDelve" ma:default="1" ma:description="Hide from Delve" ma:hidden="true" ma:internalName="HideFromDelve" ma:readOnly="false">
      <xsd:simpleType>
        <xsd:restriction base="dms:Boolean"/>
      </xsd:simpleType>
    </xsd:element>
    <xsd:element name="dms_ZaakNummer" ma:index="34" nillable="true" ma:displayName="Zaaknummer" ma:indexed="true" ma:internalName="dms_ZaakNummer">
      <xsd:simpleType>
        <xsd:restriction base="dms:Text">
          <xsd:maxLength value="255"/>
        </xsd:restriction>
      </xsd:simpleType>
    </xsd:element>
    <xsd:element name="dms_BeginGeldigheid" ma:index="56" nillable="true" ma:displayName="Begin geldigheid (STUF)" ma:description="Begin geldigheid (StUF)" ma:format="DateTime" ma:hidden="true" ma:internalName="dms_BeginGeldigheid" ma:readOnly="false">
      <xsd:simpleType>
        <xsd:restriction base="dms:DateTime"/>
      </xsd:simpleType>
    </xsd:element>
    <xsd:element name="dms_BeginGeldigheidOnv" ma:index="57" nillable="true" ma:displayName="Begin geldigheid onvolledig(STUF)" ma:description="Begin geldigheid onvolledig (StUF)" ma:hidden="true" ma:internalName="dms_BeginGeldigheidOnv" ma:readOnly="false">
      <xsd:simpleType>
        <xsd:restriction base="dms:Text"/>
      </xsd:simpleType>
    </xsd:element>
    <xsd:element name="dms_EindGeldigheid" ma:index="58" nillable="true" ma:displayName="Eind geldigheid (STUF)" ma:description="Eind geldigheid (StUF)" ma:format="DateTime" ma:hidden="true" ma:internalName="dms_EindGeldigheid" ma:readOnly="false">
      <xsd:simpleType>
        <xsd:restriction base="dms:DateTime"/>
      </xsd:simpleType>
    </xsd:element>
    <xsd:element name="dms_EindGeldigheidOnv" ma:index="59" nillable="true" ma:displayName="Eind geldigheid onvolledig(STUF)" ma:description="Eind geldigheid onvolledig (StUF)" ma:hidden="true" ma:internalName="dms_EindGeldigheidOnv" ma:readOnly="false">
      <xsd:simpleType>
        <xsd:restriction base="dms:Text"/>
      </xsd:simpleType>
    </xsd:element>
    <xsd:element name="dms_BotData" ma:index="60" nillable="true" ma:displayName="Bot overschrijfdata" ma:description="Gebruikte Onegov merge bot data om document te genereren" ma:internalName="dms_BotData"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b5288e-d294-41b5-bb1b-cbebeac80b98"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lcf76f155ced4ddcb4097134ff3c332f" ma:index="40" nillable="true" ma:taxonomy="true" ma:internalName="lcf76f155ced4ddcb4097134ff3c332f" ma:taxonomyFieldName="MediaServiceImageTags" ma:displayName="Afbeeldingtags" ma:readOnly="false" ma:fieldId="{5cf76f15-5ced-4ddc-b409-7134ff3c332f}" ma:taxonomyMulti="true" ma:sspId="41014959-3702-42b8-a114-51930b2cea67" ma:termSetId="09814cd3-568e-fe90-9814-8d621ff8fb84" ma:anchorId="fba54fb3-c3e1-fe81-a776-ca4b69148c4d" ma:open="true" ma:isKeyword="false">
      <xsd:complexType>
        <xsd:sequence>
          <xsd:element ref="pc:Terms" minOccurs="0" maxOccurs="1"/>
        </xsd:sequence>
      </xsd:complexType>
    </xsd:element>
    <xsd:element name="MediaServiceOCR" ma:index="42" nillable="true" ma:displayName="Extracted Text" ma:internalName="MediaServiceOCR" ma:readOnly="true">
      <xsd:simpleType>
        <xsd:restriction base="dms:Note">
          <xsd:maxLength value="255"/>
        </xsd:restriction>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ValidSignStatus" ma:index="49" nillable="true" ma:displayName="ValidSign Status" ma:indexed="true" ma:internalName="ValidSignStatus">
      <xsd:simpleType>
        <xsd:restriction base="dms:Text">
          <xsd:maxLength value="255"/>
        </xsd:restriction>
      </xsd:simpleType>
    </xsd:element>
    <xsd:element name="ValidSignTransactionId" ma:index="50" nillable="true" ma:displayName="ValidSign Transaction" ma:indexed="true" ma:internalName="ValidSignTransactionId">
      <xsd:simpleType>
        <xsd:restriction base="dms:Text">
          <xsd:maxLength value="255"/>
        </xsd:restriction>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Vergaderdatum" ma:index="53" nillable="true" ma:displayName="Vergaderdatum" ma:format="Dropdown" ma:internalName="Vergaderdatum">
      <xsd:simpleType>
        <xsd:restriction base="dms:Text">
          <xsd:maxLength value="255"/>
        </xsd:restriction>
      </xsd:simpleType>
    </xsd:element>
    <xsd:element name="MediaServiceLocation" ma:index="54" nillable="true" ma:displayName="Location" ma:indexed="true" ma:internalName="MediaServiceLocation" ma:readOnly="true">
      <xsd:simpleType>
        <xsd:restriction base="dms:Text"/>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ecdb89-24cf-4814-a3cb-f5ada4a8aae9" elementFormDefault="qualified">
    <xsd:import namespace="http://schemas.microsoft.com/office/2006/documentManagement/types"/>
    <xsd:import namespace="http://schemas.microsoft.com/office/infopath/2007/PartnerControls"/>
    <xsd:element name="TaxCatchAll" ma:index="41" nillable="true" ma:displayName="Taxonomy Catch All Column" ma:hidden="true" ma:list="{bb8861ef-673d-4efa-9298-84267be22a7d}" ma:internalName="TaxCatchAll" ma:showField="CatchAllData" ma:web="cdd9013c-d931-4a64-83d1-4d05f82898a7">
      <xsd:complexType>
        <xsd:complexContent>
          <xsd:extension base="dms:MultiChoiceLookup">
            <xsd:sequence>
              <xsd:element name="Value" type="dms:Lookup" maxOccurs="unbounded" minOccurs="0" nillable="true"/>
            </xsd:sequence>
          </xsd:extension>
        </xsd:complexContent>
      </xsd:complexType>
    </xsd:element>
    <xsd:element name="d79d3999a3d74111b52f60fe95dd917b" ma:index="52" nillable="true" ma:displayName="Documenttype_0" ma:hidden="true" ma:internalName="d79d3999a3d74111b52f60fe95dd917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d9013c-d931-4a64-83d1-4d05f82898a7" elementFormDefault="qualified">
    <xsd:import namespace="http://schemas.microsoft.com/office/2006/documentManagement/types"/>
    <xsd:import namespace="http://schemas.microsoft.com/office/infopath/2007/PartnerControls"/>
    <xsd:element name="SharedWithUsers" ma:index="4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decdb89-24cf-4814-a3cb-f5ada4a8aae9" xsi:nil="true"/>
    <lcf76f155ced4ddcb4097134ff3c332f xmlns="b5b5288e-d294-41b5-bb1b-cbebeac80b98">
      <Terms xmlns="http://schemas.microsoft.com/office/infopath/2007/PartnerControls"/>
    </lcf76f155ced4ddcb4097134ff3c332f>
    <_dlc_DocId xmlns="a16f362e-6192-4b5b-90bb-17561aa11c9d">4SKAANKD6RAQ-512186477-20447</_dlc_DocId>
    <_dlc_DocIdUrl xmlns="a16f362e-6192-4b5b-90bb-17561aa11c9d">
      <Url>https://zuiderzeeland.sharepoint.com/sites/dms/_layouts/15/DocIdRedir.aspx?ID=4SKAANKD6RAQ-512186477-20447</Url>
      <Description>4SKAANKD6RAQ-512186477-20447</Description>
    </_dlc_DocIdUrl>
    <dms_CreatedBy xmlns="22d40de6-64c0-4628-8ac4-aeab4a26fb1f" xsi:nil="true"/>
    <HideFromDelve xmlns="22d40de6-64c0-4628-8ac4-aeab4a26fb1f">true</HideFromDelve>
    <dms_Created xmlns="22d40de6-64c0-4628-8ac4-aeab4a26fb1f" xsi:nil="true"/>
    <dms_Vertrouwelijkheidsaanduiding xmlns="22d40de6-64c0-4628-8ac4-aeab4a26fb1f" xsi:nil="true"/>
    <dms_BerichtNummer xmlns="22d40de6-64c0-4628-8ac4-aeab4a26fb1f" xsi:nil="true"/>
    <dms_MimeType xmlns="22d40de6-64c0-4628-8ac4-aeab4a26fb1f" xsi:nil="true"/>
    <dms_Auteur xmlns="22d40de6-64c0-4628-8ac4-aeab4a26fb1f" xsi:nil="true"/>
    <dms_DctOmschrijving xmlns="22d40de6-64c0-4628-8ac4-aeab4a26fb1f" xsi:nil="true"/>
    <dms_refDocId xmlns="22d40de6-64c0-4628-8ac4-aeab4a26fb1f" xsi:nil="true"/>
    <dms_BotData xmlns="22d40de6-64c0-4628-8ac4-aeab4a26fb1f" xsi:nil="true"/>
    <dms_Omschrijving xmlns="22d40de6-64c0-4628-8ac4-aeab4a26fb1f" xsi:nil="true"/>
    <dms_Ontvangstdatum xmlns="22d40de6-64c0-4628-8ac4-aeab4a26fb1f" xsi:nil="true"/>
    <dms_Documentdatum xmlns="22d40de6-64c0-4628-8ac4-aeab4a26fb1f" xsi:nil="true"/>
    <dms_CheckOutId xmlns="22d40de6-64c0-4628-8ac4-aeab4a26fb1f" xsi:nil="true"/>
    <IconOverlay xmlns="http://schemas.microsoft.com/sharepoint/v4" xsi:nil="true"/>
    <d79d3999a3d74111b52f60fe95dd917b xmlns="6decdb89-24cf-4814-a3cb-f5ada4a8aae9" xsi:nil="true"/>
    <dms_Publiceren xmlns="22d40de6-64c0-4628-8ac4-aeab4a26fb1f" xsi:nil="true"/>
    <Vergaderdatum xmlns="b5b5288e-d294-41b5-bb1b-cbebeac80b98" xsi:nil="true"/>
    <dms_ZaakNummer xmlns="22d40de6-64c0-4628-8ac4-aeab4a26fb1f">1001287</dms_ZaakNummer>
    <dms_CheckOutUser xmlns="22d40de6-64c0-4628-8ac4-aeab4a26fb1f" xsi:nil="true"/>
    <dms_SkipPdf xmlns="22d40de6-64c0-4628-8ac4-aeab4a26fb1f" xsi:nil="true"/>
    <dms_Agendastuk xmlns="22d40de6-64c0-4628-8ac4-aeab4a26fb1f">false</dms_Agendastuk>
    <dms_BeginGeldigheidOnv xmlns="22d40de6-64c0-4628-8ac4-aeab4a26fb1f" xsi:nil="true"/>
    <dms_Taal xmlns="22d40de6-64c0-4628-8ac4-aeab4a26fb1f" xsi:nil="true"/>
    <dms_Formaat xmlns="22d40de6-64c0-4628-8ac4-aeab4a26fb1f" xsi:nil="true"/>
    <dms_Verzenddatum xmlns="22d40de6-64c0-4628-8ac4-aeab4a26fb1f" xsi:nil="true"/>
    <ValidSignStatus xmlns="b5b5288e-d294-41b5-bb1b-cbebeac80b98" xsi:nil="true"/>
    <dms_EindGeldigheidOnv xmlns="22d40de6-64c0-4628-8ac4-aeab4a26fb1f" xsi:nil="true"/>
    <dms_BeginGeldigheid xmlns="22d40de6-64c0-4628-8ac4-aeab4a26fb1f" xsi:nil="true"/>
    <dms_EindGeldigheid xmlns="22d40de6-64c0-4628-8ac4-aeab4a26fb1f" xsi:nil="true"/>
    <dms_Documentstatus xmlns="22d40de6-64c0-4628-8ac4-aeab4a26fb1f" xsi:nil="true"/>
    <ValidSignTransactionId xmlns="b5b5288e-d294-41b5-bb1b-cbebeac80b98" xsi:nil="true"/>
    <dms_DocumentType xmlns="22d40de6-64c0-4628-8ac4-aeab4a26fb1f" xsi:nil="true"/>
  </documentManagement>
</p:properties>
</file>

<file path=customXml/item5.xml><?xml version="1.0" encoding="utf-8"?>
<?mso-contentType ?>
<FormUrls xmlns="http://schemas.microsoft.com/sharepoint/v3/contenttype/forms/url">
  <Edit>_layouts/15/SPListForm.aspx?PageType=6</Edit>
  <EditComponentId>88e64ebc-5e8b-4d34-bc49-78c6a7898f0e</EditComponentId>
  <NewComponentId>&amp;lt;FormUrls xmlns="http://schemas.microsoft.com/sharepoint/v3/contenttype/forms/url"&amp;gt;&amp;lt;Edit&amp;gt;_layouts/15/SPListForm.aspx?PageType=6&amp;lt;/Edit&amp;gt;&amp;lt;EditComponentId&amp;gt;88e64ebc-5e8b-4d34-bc49-78c6a7898f0e&amp;lt;/EditComponentId&amp;gt;&amp;lt;DisplayFormTarget&amp;gt;NewWindow&amp;lt;/DisplayFormTarget&amp;gt;&amp;lt;EditFormTarget&amp;gt;NewWindow&amp;lt;/EditFormTarget&amp;gt;&amp;lt;NewFormTarget&amp;gt;NewWindow&amp;lt;/NewFormTarget&amp;gt;&amp;lt;/FormUrls&amp;gt;</NewComponentId>
  <DisplayFormTarget>NewWindow</DisplayFormTarget>
  <EditFormTarget>NewWindow</EditFormTarget>
  <NewFormTarget>NewWindow</NewFormTarget>
</FormUrls>
</file>

<file path=customXml/itemProps1.xml><?xml version="1.0" encoding="utf-8"?>
<ds:datastoreItem xmlns:ds="http://schemas.openxmlformats.org/officeDocument/2006/customXml" ds:itemID="{D02D7A62-1DDD-402C-ADD5-00152694A5E1}">
  <ds:schemaRefs>
    <ds:schemaRef ds:uri="http://schemas.microsoft.com/sharepoint/events"/>
  </ds:schemaRefs>
</ds:datastoreItem>
</file>

<file path=customXml/itemProps2.xml><?xml version="1.0" encoding="utf-8"?>
<ds:datastoreItem xmlns:ds="http://schemas.openxmlformats.org/officeDocument/2006/customXml" ds:itemID="{40AE07F0-5099-41C0-A1BF-7CCFCE101AC0}">
  <ds:schemaRefs>
    <ds:schemaRef ds:uri="http://schemas.microsoft.com/sharepoint/v3/contenttype/forms"/>
  </ds:schemaRefs>
</ds:datastoreItem>
</file>

<file path=customXml/itemProps3.xml><?xml version="1.0" encoding="utf-8"?>
<ds:datastoreItem xmlns:ds="http://schemas.openxmlformats.org/officeDocument/2006/customXml" ds:itemID="{2E876338-9999-4308-BFAA-DB6D5A578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6f362e-6192-4b5b-90bb-17561aa11c9d"/>
    <ds:schemaRef ds:uri="22d40de6-64c0-4628-8ac4-aeab4a26fb1f"/>
    <ds:schemaRef ds:uri="b5b5288e-d294-41b5-bb1b-cbebeac80b98"/>
    <ds:schemaRef ds:uri="http://schemas.microsoft.com/sharepoint/v4"/>
    <ds:schemaRef ds:uri="6decdb89-24cf-4814-a3cb-f5ada4a8aae9"/>
    <ds:schemaRef ds:uri="cdd9013c-d931-4a64-83d1-4d05f8289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FD036A5-05E0-4AC3-847E-BB8C643379E4}">
  <ds:schemaRefs>
    <ds:schemaRef ds:uri="a16f362e-6192-4b5b-90bb-17561aa11c9d"/>
    <ds:schemaRef ds:uri="http://purl.org/dc/elements/1.1/"/>
    <ds:schemaRef ds:uri="http://schemas.microsoft.com/office/2006/metadata/properties"/>
    <ds:schemaRef ds:uri="http://schemas.microsoft.com/sharepoint/v3"/>
    <ds:schemaRef ds:uri="http://schemas.microsoft.com/sharepoint/v4"/>
    <ds:schemaRef ds:uri="http://schemas.microsoft.com/office/infopath/2007/PartnerControls"/>
    <ds:schemaRef ds:uri="http://schemas.microsoft.com/office/2006/documentManagement/types"/>
    <ds:schemaRef ds:uri="http://schemas.openxmlformats.org/package/2006/metadata/core-properties"/>
    <ds:schemaRef ds:uri="cdd9013c-d931-4a64-83d1-4d05f82898a7"/>
    <ds:schemaRef ds:uri="http://purl.org/dc/dcmitype/"/>
    <ds:schemaRef ds:uri="6decdb89-24cf-4814-a3cb-f5ada4a8aae9"/>
    <ds:schemaRef ds:uri="http://www.w3.org/XML/1998/namespace"/>
    <ds:schemaRef ds:uri="b5b5288e-d294-41b5-bb1b-cbebeac80b98"/>
    <ds:schemaRef ds:uri="22d40de6-64c0-4628-8ac4-aeab4a26fb1f"/>
    <ds:schemaRef ds:uri="http://purl.org/dc/terms/"/>
  </ds:schemaRefs>
</ds:datastoreItem>
</file>

<file path=customXml/itemProps5.xml><?xml version="1.0" encoding="utf-8"?>
<ds:datastoreItem xmlns:ds="http://schemas.openxmlformats.org/officeDocument/2006/customXml" ds:itemID="{D473AAD0-95A0-476B-A181-C4CE8EF449A2}">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Werkbladen</vt:lpstr>
      </vt:variant>
      <vt:variant>
        <vt:i4>25</vt:i4>
      </vt:variant>
    </vt:vector>
  </HeadingPairs>
  <TitlesOfParts>
    <vt:vector size="25" baseType="lpstr">
      <vt:lpstr>Toelichting</vt:lpstr>
      <vt:lpstr>Sheet</vt:lpstr>
      <vt:lpstr>Samenvatting</vt:lpstr>
      <vt:lpstr>WLs</vt:lpstr>
      <vt:lpstr>Fytoplankton</vt:lpstr>
      <vt:lpstr>Vegetatie</vt:lpstr>
      <vt:lpstr>Macrofauna</vt:lpstr>
      <vt:lpstr>Vis</vt:lpstr>
      <vt:lpstr>Bronnen N</vt:lpstr>
      <vt:lpstr>Bronnen P</vt:lpstr>
      <vt:lpstr>P</vt:lpstr>
      <vt:lpstr>N</vt:lpstr>
      <vt:lpstr>Cl</vt:lpstr>
      <vt:lpstr>DZ</vt:lpstr>
      <vt:lpstr>O2</vt:lpstr>
      <vt:lpstr>pH</vt:lpstr>
      <vt:lpstr>ESF1</vt:lpstr>
      <vt:lpstr>ESF2</vt:lpstr>
      <vt:lpstr>ESF3</vt:lpstr>
      <vt:lpstr>ESF4</vt:lpstr>
      <vt:lpstr>ESF5</vt:lpstr>
      <vt:lpstr>ESF6</vt:lpstr>
      <vt:lpstr>ESF7</vt:lpstr>
      <vt:lpstr>ESF8</vt:lpstr>
      <vt:lpstr>Iconen ESFs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Exceltabel (bijlage) Actualisatie ecologische doelen SGBP4 Flevolande doelafleiding SGBP4 Definitief</dc:title>
  <dc:subject/>
  <dc:creator>Reinder Torenbeek</dc:creator>
  <cp:keywords/>
  <dc:description/>
  <cp:lastModifiedBy>Bouwhuis, Harry</cp:lastModifiedBy>
  <cp:revision/>
  <dcterms:created xsi:type="dcterms:W3CDTF">2025-04-22T06:52:38Z</dcterms:created>
  <dcterms:modified xsi:type="dcterms:W3CDTF">2026-01-28T10:30:57Z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0x010100175E1A50EFE658448B3CA03ECC91CF440065CFD5FDEAEBC74B9A09E1F59F08B8E9</vt:lpwstr>
  </property>
  <property fmtid="{D5CDD505-2E9C-101B-9397-08002B2CF9AE}" pid="4" name="_dlc_DocIdItemGuid">
    <vt:lpwstr>73b5d2e5-6f4f-4d98-905b-5e8e3b0828ae</vt:lpwstr>
  </property>
  <property fmtid="{D5CDD505-2E9C-101B-9397-08002B2CF9AE}" pid="5" name="Documenttype">
    <vt:lpwstr/>
  </property>
</Properties>
</file>